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4037102F-4292-43A5-B933-F955729D43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a indykatywna" sheetId="1" r:id="rId1"/>
    <sheet name="ZI" sheetId="2" r:id="rId2"/>
  </sheets>
  <definedNames>
    <definedName name="_xlnm._FilterDatabase" localSheetId="0" hidden="1">'Tabela indykatywna'!$A$6:$Q$96</definedName>
    <definedName name="_xlnm._FilterDatabase" localSheetId="1" hidden="1">ZI!$A$2:$F$3</definedName>
    <definedName name="_xlnm.Print_Area" localSheetId="0">'Tabela indykatywna'!$A$1:$Q$98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L7" i="1"/>
  <c r="L14" i="1"/>
  <c r="L32" i="1"/>
  <c r="L36" i="1"/>
  <c r="L39" i="1"/>
  <c r="L61" i="1"/>
  <c r="L95" i="1" s="1"/>
  <c r="L74" i="1"/>
  <c r="L76" i="1"/>
  <c r="L78" i="1"/>
  <c r="L80" i="1"/>
  <c r="L82" i="1"/>
  <c r="L84" i="1"/>
  <c r="L89" i="1"/>
  <c r="L91" i="1"/>
  <c r="L94" i="1" l="1"/>
  <c r="L96" i="1" s="1"/>
  <c r="G71" i="1" l="1"/>
  <c r="G72" i="1"/>
  <c r="G165" i="2" l="1"/>
  <c r="G163" i="2"/>
  <c r="G162" i="2"/>
  <c r="G158" i="2"/>
  <c r="G156" i="2"/>
  <c r="F143" i="2"/>
  <c r="F84" i="2" l="1"/>
  <c r="F83" i="2"/>
  <c r="G17" i="1" l="1"/>
  <c r="O8" i="1" l="1"/>
  <c r="O13" i="1"/>
  <c r="H84" i="1" l="1"/>
  <c r="I84" i="1"/>
  <c r="M84" i="1"/>
  <c r="N84" i="1"/>
  <c r="O84" i="1"/>
  <c r="Q84" i="1"/>
  <c r="F84" i="1"/>
  <c r="G84" i="1"/>
  <c r="E86" i="1"/>
  <c r="E87" i="1"/>
  <c r="E88" i="1"/>
  <c r="K86" i="1"/>
  <c r="J86" i="1" s="1"/>
  <c r="P86" i="1" s="1"/>
  <c r="K87" i="1"/>
  <c r="J87" i="1" s="1"/>
  <c r="K88" i="1"/>
  <c r="J88" i="1" s="1"/>
  <c r="G15" i="1"/>
  <c r="P87" i="1" l="1"/>
  <c r="P88" i="1"/>
  <c r="G68" i="1"/>
  <c r="G70" i="1"/>
  <c r="G64" i="1"/>
  <c r="G33" i="1"/>
  <c r="G37" i="1"/>
  <c r="G29" i="1" l="1"/>
  <c r="G27" i="1"/>
  <c r="G20" i="1"/>
  <c r="G12" i="1" l="1"/>
  <c r="G11" i="1"/>
  <c r="G10" i="1"/>
  <c r="F91" i="1"/>
  <c r="G91" i="1"/>
  <c r="H91" i="1"/>
  <c r="I91" i="1"/>
  <c r="M91" i="1"/>
  <c r="N91" i="1"/>
  <c r="O91" i="1"/>
  <c r="Q91" i="1"/>
  <c r="K92" i="1"/>
  <c r="J92" i="1" s="1"/>
  <c r="E92" i="1"/>
  <c r="K90" i="1"/>
  <c r="K89" i="1" s="1"/>
  <c r="E90" i="1"/>
  <c r="Q89" i="1"/>
  <c r="O89" i="1"/>
  <c r="N89" i="1"/>
  <c r="M89" i="1"/>
  <c r="I89" i="1"/>
  <c r="H89" i="1"/>
  <c r="G89" i="1"/>
  <c r="F89" i="1"/>
  <c r="K85" i="1"/>
  <c r="E85" i="1"/>
  <c r="E84" i="1" s="1"/>
  <c r="K83" i="1"/>
  <c r="J83" i="1" s="1"/>
  <c r="J82" i="1" s="1"/>
  <c r="E83" i="1"/>
  <c r="E82" i="1" s="1"/>
  <c r="Q82" i="1"/>
  <c r="O82" i="1"/>
  <c r="N82" i="1"/>
  <c r="M82" i="1"/>
  <c r="I82" i="1"/>
  <c r="H82" i="1"/>
  <c r="G82" i="1"/>
  <c r="F82" i="1"/>
  <c r="K81" i="1"/>
  <c r="J81" i="1" s="1"/>
  <c r="J80" i="1" s="1"/>
  <c r="E81" i="1"/>
  <c r="Q80" i="1"/>
  <c r="O80" i="1"/>
  <c r="N80" i="1"/>
  <c r="M80" i="1"/>
  <c r="I80" i="1"/>
  <c r="H80" i="1"/>
  <c r="G80" i="1"/>
  <c r="F80" i="1"/>
  <c r="K79" i="1"/>
  <c r="J79" i="1" s="1"/>
  <c r="J78" i="1" s="1"/>
  <c r="E79" i="1"/>
  <c r="Q78" i="1"/>
  <c r="O78" i="1"/>
  <c r="N78" i="1"/>
  <c r="M78" i="1"/>
  <c r="I78" i="1"/>
  <c r="H78" i="1"/>
  <c r="G78" i="1"/>
  <c r="F78" i="1"/>
  <c r="J90" i="1" l="1"/>
  <c r="J89" i="1" s="1"/>
  <c r="J85" i="1"/>
  <c r="J84" i="1" s="1"/>
  <c r="K84" i="1"/>
  <c r="K78" i="1"/>
  <c r="P79" i="1"/>
  <c r="P83" i="1"/>
  <c r="P82" i="1" s="1"/>
  <c r="P92" i="1"/>
  <c r="E89" i="1"/>
  <c r="P85" i="1"/>
  <c r="P84" i="1" s="1"/>
  <c r="K82" i="1"/>
  <c r="P81" i="1"/>
  <c r="P80" i="1" s="1"/>
  <c r="K80" i="1"/>
  <c r="E80" i="1"/>
  <c r="E78" i="1"/>
  <c r="P90" i="1" l="1"/>
  <c r="P89" i="1" s="1"/>
  <c r="P78" i="1"/>
  <c r="G35" i="1" l="1"/>
  <c r="G30" i="1" l="1"/>
  <c r="G154" i="2" l="1"/>
  <c r="G150" i="2"/>
  <c r="G146" i="2"/>
  <c r="G126" i="2"/>
  <c r="G99" i="2"/>
  <c r="G97" i="2"/>
  <c r="G81" i="2"/>
  <c r="G32" i="2"/>
  <c r="F127" i="2" l="1"/>
  <c r="F166" i="2" s="1"/>
  <c r="G144" i="2" l="1"/>
  <c r="F61" i="1" l="1"/>
  <c r="G61" i="1"/>
  <c r="H61" i="1"/>
  <c r="I61" i="1"/>
  <c r="M61" i="1"/>
  <c r="N61" i="1"/>
  <c r="O61" i="1"/>
  <c r="Q61" i="1"/>
  <c r="F14" i="1"/>
  <c r="G14" i="1"/>
  <c r="H14" i="1"/>
  <c r="I14" i="1"/>
  <c r="M14" i="1"/>
  <c r="N14" i="1"/>
  <c r="O14" i="1"/>
  <c r="Q14" i="1"/>
  <c r="Q7" i="1"/>
  <c r="F7" i="1"/>
  <c r="G7" i="1"/>
  <c r="H7" i="1"/>
  <c r="I7" i="1"/>
  <c r="M7" i="1"/>
  <c r="N7" i="1"/>
  <c r="O7" i="1"/>
  <c r="E8" i="1" l="1"/>
  <c r="O74" i="1" l="1"/>
  <c r="K93" i="1" l="1"/>
  <c r="K77" i="1"/>
  <c r="J77" i="1" s="1"/>
  <c r="J76" i="1" s="1"/>
  <c r="K75" i="1"/>
  <c r="J75" i="1" s="1"/>
  <c r="J74" i="1" s="1"/>
  <c r="K73" i="1"/>
  <c r="J73" i="1" s="1"/>
  <c r="K72" i="1"/>
  <c r="J72" i="1" s="1"/>
  <c r="K71" i="1"/>
  <c r="J71" i="1" s="1"/>
  <c r="K70" i="1"/>
  <c r="J70" i="1" s="1"/>
  <c r="K69" i="1"/>
  <c r="J69" i="1" s="1"/>
  <c r="K68" i="1"/>
  <c r="J68" i="1" s="1"/>
  <c r="K67" i="1"/>
  <c r="J67" i="1" s="1"/>
  <c r="K66" i="1"/>
  <c r="J66" i="1" s="1"/>
  <c r="K65" i="1"/>
  <c r="J65" i="1" s="1"/>
  <c r="K64" i="1"/>
  <c r="J64" i="1" s="1"/>
  <c r="K63" i="1"/>
  <c r="J63" i="1" s="1"/>
  <c r="K62" i="1"/>
  <c r="K60" i="1"/>
  <c r="J60" i="1" s="1"/>
  <c r="K59" i="1"/>
  <c r="J59" i="1" s="1"/>
  <c r="K58" i="1"/>
  <c r="J58" i="1" s="1"/>
  <c r="K57" i="1"/>
  <c r="J57" i="1" s="1"/>
  <c r="K56" i="1"/>
  <c r="J56" i="1" s="1"/>
  <c r="K55" i="1"/>
  <c r="J55" i="1" s="1"/>
  <c r="K54" i="1"/>
  <c r="J54" i="1" s="1"/>
  <c r="K53" i="1"/>
  <c r="J53" i="1" s="1"/>
  <c r="K52" i="1"/>
  <c r="J52" i="1" s="1"/>
  <c r="K51" i="1"/>
  <c r="J51" i="1" s="1"/>
  <c r="K50" i="1"/>
  <c r="J50" i="1" s="1"/>
  <c r="K49" i="1"/>
  <c r="J49" i="1" s="1"/>
  <c r="K48" i="1"/>
  <c r="K47" i="1"/>
  <c r="J47" i="1" s="1"/>
  <c r="K46" i="1"/>
  <c r="J46" i="1" s="1"/>
  <c r="K45" i="1"/>
  <c r="J45" i="1" s="1"/>
  <c r="K44" i="1"/>
  <c r="J44" i="1" s="1"/>
  <c r="K43" i="1"/>
  <c r="J43" i="1" s="1"/>
  <c r="K42" i="1"/>
  <c r="J42" i="1" s="1"/>
  <c r="K41" i="1"/>
  <c r="J41" i="1" s="1"/>
  <c r="K40" i="1"/>
  <c r="J40" i="1" s="1"/>
  <c r="K31" i="1"/>
  <c r="J31" i="1" s="1"/>
  <c r="K30" i="1"/>
  <c r="J30" i="1" s="1"/>
  <c r="K29" i="1"/>
  <c r="J29" i="1" s="1"/>
  <c r="K28" i="1"/>
  <c r="J28" i="1" s="1"/>
  <c r="K27" i="1"/>
  <c r="J27" i="1" s="1"/>
  <c r="K26" i="1"/>
  <c r="J26" i="1" s="1"/>
  <c r="K25" i="1"/>
  <c r="J25" i="1" s="1"/>
  <c r="K24" i="1"/>
  <c r="J24" i="1" s="1"/>
  <c r="K23" i="1"/>
  <c r="J23" i="1" s="1"/>
  <c r="K22" i="1"/>
  <c r="J22" i="1" s="1"/>
  <c r="K21" i="1"/>
  <c r="J21" i="1" s="1"/>
  <c r="K20" i="1"/>
  <c r="J20" i="1" s="1"/>
  <c r="K19" i="1"/>
  <c r="J19" i="1" s="1"/>
  <c r="K18" i="1"/>
  <c r="J18" i="1" s="1"/>
  <c r="K17" i="1"/>
  <c r="J17" i="1" s="1"/>
  <c r="K16" i="1"/>
  <c r="J16" i="1" s="1"/>
  <c r="K15" i="1"/>
  <c r="K13" i="1"/>
  <c r="J13" i="1" s="1"/>
  <c r="K12" i="1"/>
  <c r="J12" i="1" s="1"/>
  <c r="K11" i="1"/>
  <c r="J11" i="1" s="1"/>
  <c r="K10" i="1"/>
  <c r="J10" i="1" s="1"/>
  <c r="K9" i="1"/>
  <c r="K8" i="1"/>
  <c r="J8" i="1" s="1"/>
  <c r="E93" i="1"/>
  <c r="E91" i="1" s="1"/>
  <c r="E77" i="1"/>
  <c r="E76" i="1" s="1"/>
  <c r="E75" i="1"/>
  <c r="E74" i="1" s="1"/>
  <c r="E73" i="1"/>
  <c r="E72" i="1"/>
  <c r="E71" i="1"/>
  <c r="E70" i="1"/>
  <c r="E69" i="1"/>
  <c r="E68" i="1"/>
  <c r="E67" i="1"/>
  <c r="E66" i="1"/>
  <c r="E65" i="1"/>
  <c r="E64" i="1"/>
  <c r="E63" i="1"/>
  <c r="E62" i="1"/>
  <c r="E60" i="1"/>
  <c r="E59" i="1"/>
  <c r="E58" i="1"/>
  <c r="E57" i="1"/>
  <c r="E56" i="1"/>
  <c r="E55" i="1"/>
  <c r="P55" i="1" s="1"/>
  <c r="E54" i="1"/>
  <c r="E53" i="1"/>
  <c r="E52" i="1"/>
  <c r="E51" i="1"/>
  <c r="E50" i="1"/>
  <c r="E49" i="1"/>
  <c r="E48" i="1"/>
  <c r="E47" i="1"/>
  <c r="P47" i="1" s="1"/>
  <c r="E46" i="1"/>
  <c r="E45" i="1"/>
  <c r="E44" i="1"/>
  <c r="E43" i="1"/>
  <c r="E42" i="1"/>
  <c r="E41" i="1"/>
  <c r="E40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F39" i="1"/>
  <c r="G39" i="1"/>
  <c r="I39" i="1"/>
  <c r="I94" i="1" s="1"/>
  <c r="M39" i="1"/>
  <c r="M94" i="1" s="1"/>
  <c r="N39" i="1"/>
  <c r="O39" i="1"/>
  <c r="Q39" i="1"/>
  <c r="F76" i="1"/>
  <c r="G76" i="1"/>
  <c r="H76" i="1"/>
  <c r="H94" i="1" s="1"/>
  <c r="I76" i="1"/>
  <c r="M76" i="1"/>
  <c r="N76" i="1"/>
  <c r="O76" i="1"/>
  <c r="Q76" i="1"/>
  <c r="F74" i="1"/>
  <c r="G74" i="1"/>
  <c r="H74" i="1"/>
  <c r="I74" i="1"/>
  <c r="M74" i="1"/>
  <c r="N74" i="1"/>
  <c r="Q74" i="1"/>
  <c r="F36" i="1"/>
  <c r="G36" i="1"/>
  <c r="H36" i="1"/>
  <c r="I36" i="1"/>
  <c r="M36" i="1"/>
  <c r="N36" i="1"/>
  <c r="O36" i="1"/>
  <c r="Q36" i="1"/>
  <c r="F32" i="1"/>
  <c r="G32" i="1"/>
  <c r="H32" i="1"/>
  <c r="H95" i="1" s="1"/>
  <c r="I32" i="1"/>
  <c r="M32" i="1"/>
  <c r="M95" i="1" s="1"/>
  <c r="N32" i="1"/>
  <c r="O32" i="1"/>
  <c r="Q32" i="1"/>
  <c r="G94" i="1" l="1"/>
  <c r="E39" i="1"/>
  <c r="Q94" i="1"/>
  <c r="O94" i="1"/>
  <c r="N94" i="1"/>
  <c r="O95" i="1"/>
  <c r="F94" i="1"/>
  <c r="I95" i="1"/>
  <c r="Q95" i="1"/>
  <c r="F95" i="1"/>
  <c r="N95" i="1"/>
  <c r="E94" i="1"/>
  <c r="G95" i="1"/>
  <c r="J93" i="1"/>
  <c r="J91" i="1" s="1"/>
  <c r="K91" i="1"/>
  <c r="J48" i="1"/>
  <c r="P48" i="1" s="1"/>
  <c r="P42" i="1"/>
  <c r="P50" i="1"/>
  <c r="P54" i="1"/>
  <c r="K76" i="1"/>
  <c r="P72" i="1"/>
  <c r="K61" i="1"/>
  <c r="K14" i="1"/>
  <c r="E61" i="1"/>
  <c r="E14" i="1"/>
  <c r="J9" i="1"/>
  <c r="J7" i="1" s="1"/>
  <c r="K7" i="1"/>
  <c r="P8" i="1"/>
  <c r="E7" i="1"/>
  <c r="P30" i="1"/>
  <c r="J62" i="1"/>
  <c r="P29" i="1"/>
  <c r="P11" i="1"/>
  <c r="P63" i="1"/>
  <c r="P71" i="1"/>
  <c r="P22" i="1"/>
  <c r="P31" i="1"/>
  <c r="P10" i="1"/>
  <c r="P19" i="1"/>
  <c r="P27" i="1"/>
  <c r="P23" i="1"/>
  <c r="P44" i="1"/>
  <c r="P56" i="1"/>
  <c r="P60" i="1"/>
  <c r="P65" i="1"/>
  <c r="P69" i="1"/>
  <c r="P73" i="1"/>
  <c r="P66" i="1"/>
  <c r="P20" i="1"/>
  <c r="P28" i="1"/>
  <c r="P17" i="1"/>
  <c r="P21" i="1"/>
  <c r="P25" i="1"/>
  <c r="P12" i="1"/>
  <c r="P43" i="1"/>
  <c r="P59" i="1"/>
  <c r="P52" i="1"/>
  <c r="P41" i="1"/>
  <c r="P45" i="1"/>
  <c r="P49" i="1"/>
  <c r="P53" i="1"/>
  <c r="P57" i="1"/>
  <c r="P51" i="1"/>
  <c r="P46" i="1"/>
  <c r="P58" i="1"/>
  <c r="P26" i="1"/>
  <c r="P18" i="1"/>
  <c r="P16" i="1"/>
  <c r="P24" i="1"/>
  <c r="P13" i="1"/>
  <c r="J15" i="1"/>
  <c r="J14" i="1" s="1"/>
  <c r="P40" i="1"/>
  <c r="P70" i="1"/>
  <c r="P68" i="1"/>
  <c r="P67" i="1"/>
  <c r="P64" i="1"/>
  <c r="P77" i="1"/>
  <c r="K74" i="1"/>
  <c r="P75" i="1"/>
  <c r="K39" i="1"/>
  <c r="Q96" i="1"/>
  <c r="E34" i="1"/>
  <c r="E35" i="1"/>
  <c r="E33" i="1"/>
  <c r="E38" i="1"/>
  <c r="E37" i="1"/>
  <c r="K94" i="1" l="1"/>
  <c r="P93" i="1"/>
  <c r="P91" i="1" s="1"/>
  <c r="J39" i="1"/>
  <c r="J94" i="1" s="1"/>
  <c r="P9" i="1"/>
  <c r="P62" i="1"/>
  <c r="J61" i="1"/>
  <c r="P74" i="1"/>
  <c r="P76" i="1"/>
  <c r="G96" i="1"/>
  <c r="H96" i="1"/>
  <c r="F96" i="1"/>
  <c r="N96" i="1"/>
  <c r="P39" i="1"/>
  <c r="O96" i="1"/>
  <c r="P15" i="1"/>
  <c r="M96" i="1"/>
  <c r="I96" i="1"/>
  <c r="K34" i="1"/>
  <c r="J34" i="1" s="1"/>
  <c r="K35" i="1"/>
  <c r="J35" i="1" s="1"/>
  <c r="K37" i="1"/>
  <c r="K38" i="1"/>
  <c r="J38" i="1" s="1"/>
  <c r="P38" i="1" s="1"/>
  <c r="K33" i="1"/>
  <c r="P14" i="1" l="1"/>
  <c r="P61" i="1"/>
  <c r="P94" i="1"/>
  <c r="P7" i="1"/>
  <c r="J37" i="1"/>
  <c r="J36" i="1" s="1"/>
  <c r="K36" i="1"/>
  <c r="J33" i="1"/>
  <c r="J32" i="1" s="1"/>
  <c r="K32" i="1"/>
  <c r="K95" i="1" s="1"/>
  <c r="P35" i="1"/>
  <c r="P34" i="1"/>
  <c r="E36" i="1"/>
  <c r="E32" i="1"/>
  <c r="K96" i="1" l="1"/>
  <c r="J95" i="1"/>
  <c r="J96" i="1" s="1"/>
  <c r="E95" i="1"/>
  <c r="E96" i="1" s="1"/>
  <c r="E98" i="1" s="1"/>
  <c r="P33" i="1"/>
  <c r="P37" i="1"/>
  <c r="P36" i="1" l="1"/>
  <c r="P32" i="1"/>
  <c r="P95" i="1" l="1"/>
  <c r="P96" i="1" s="1"/>
</calcChain>
</file>

<file path=xl/sharedStrings.xml><?xml version="1.0" encoding="utf-8"?>
<sst xmlns="http://schemas.openxmlformats.org/spreadsheetml/2006/main" count="655" uniqueCount="297">
  <si>
    <t>Priorytet (numer)</t>
  </si>
  <si>
    <t>Cel szczegółowy (numer)</t>
  </si>
  <si>
    <t>Kategorie regionów</t>
  </si>
  <si>
    <t>Wsparcie UE</t>
  </si>
  <si>
    <t>ogółem</t>
  </si>
  <si>
    <t>FS</t>
  </si>
  <si>
    <t>EFRR</t>
  </si>
  <si>
    <t>EFS+</t>
  </si>
  <si>
    <t>FST (*)</t>
  </si>
  <si>
    <t>Wkład krajowy</t>
  </si>
  <si>
    <t>Krajowe środki publiczne</t>
  </si>
  <si>
    <t>budżet państwa (**)</t>
  </si>
  <si>
    <t>budżet JST</t>
  </si>
  <si>
    <t>inne</t>
  </si>
  <si>
    <t>Krajowe środki prywatne</t>
  </si>
  <si>
    <t>Wkład EBI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</si>
  <si>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</si>
  <si>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</si>
  <si>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</si>
  <si>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</si>
  <si>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</si>
  <si>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</si>
  <si>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</si>
  <si>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</si>
  <si>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</si>
  <si>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</si>
  <si>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</si>
  <si>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</si>
  <si>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k</t>
  </si>
  <si>
    <t>=b+c+d+e</t>
  </si>
  <si>
    <t>=g+k</t>
  </si>
  <si>
    <t>=h+i+j</t>
  </si>
  <si>
    <t>=a+f</t>
  </si>
  <si>
    <t>Priorytet 1</t>
  </si>
  <si>
    <t>Priorytet 2</t>
  </si>
  <si>
    <t>Priorytet 3</t>
  </si>
  <si>
    <t>Priorytet 4</t>
  </si>
  <si>
    <t>Priorytet 5</t>
  </si>
  <si>
    <t>Priorytet 6</t>
  </si>
  <si>
    <t>Priorytet 7</t>
  </si>
  <si>
    <t>Priorytet 8</t>
  </si>
  <si>
    <t>Priorytet 9</t>
  </si>
  <si>
    <t>słabiej rozwinięte</t>
  </si>
  <si>
    <t>Infrastruktura drogowa</t>
  </si>
  <si>
    <t>Tabor kolejowy</t>
  </si>
  <si>
    <t>Mobilność miejska</t>
  </si>
  <si>
    <t>Mobilność miejska – ZIT na terenie obszaru metropolitalnego</t>
  </si>
  <si>
    <t>Mobilność miejska – ZIT poza terenem obszaru metropolitalnego</t>
  </si>
  <si>
    <t>Działanie 3.1</t>
  </si>
  <si>
    <t>Działanie 3.2</t>
  </si>
  <si>
    <t>Działanie 3.3</t>
  </si>
  <si>
    <t>Działanie 4.1</t>
  </si>
  <si>
    <t>Działanie 4.2</t>
  </si>
  <si>
    <t>Badania i innowacje w przedsiębiorstwach</t>
  </si>
  <si>
    <t>Badania i innowacje w przedsiębiorstwach – wsparcie pozadotacyjne</t>
  </si>
  <si>
    <t>Potencjał klastrów i Inteligentnych Specjalizacji Pomorza</t>
  </si>
  <si>
    <t>E-usługi publiczne</t>
  </si>
  <si>
    <t>Wsparcie przedsiębiorstw</t>
  </si>
  <si>
    <t>Wsparcie MŚP – wsparcie pozadotacyjne</t>
  </si>
  <si>
    <t>Efektywność energetyczna</t>
  </si>
  <si>
    <t xml:space="preserve">Efektywność energetyczna – ZIT na terenie obszaru metropolitalnego </t>
  </si>
  <si>
    <t>Efektywność energetyczna – ZIT poza terenem obszaru metropolitalnego</t>
  </si>
  <si>
    <t>Efektywność energetyczna – programy rewitalizacji</t>
  </si>
  <si>
    <t>Efektywność energetyczna – wsparcie pozadotacyjne</t>
  </si>
  <si>
    <t>Odnawialne źródła energii – RLKS</t>
  </si>
  <si>
    <t>Odnawialne źródła energii – wsparcie pozadotacyjne</t>
  </si>
  <si>
    <t>Przystosowanie do zmian klimatu</t>
  </si>
  <si>
    <t>Przystosowanie do zmian klimatu – ZIT na terenie obszaru metropolitalnego</t>
  </si>
  <si>
    <t>Przystosowanie do zmian klimatu – ZIT poza terenem obszaru metropolitalnego</t>
  </si>
  <si>
    <t>Zrównoważona gospodarka wodna</t>
  </si>
  <si>
    <t>Gospodarka o obiegu zamkniętym</t>
  </si>
  <si>
    <t>Gospodarka o obiegu zamkniętym – wsparcie pozadotacyjne</t>
  </si>
  <si>
    <t xml:space="preserve">Różnorodność biologiczna i krajobrazu </t>
  </si>
  <si>
    <t>Różnorodność biologiczna i krajobrazu – ZIT poza terenem obszaru metropolitalnego</t>
  </si>
  <si>
    <t>Różnorodność biologiczna i krajobrazu – RLKS</t>
  </si>
  <si>
    <t>Działanie 1.1</t>
  </si>
  <si>
    <t>Działanie 1.2</t>
  </si>
  <si>
    <t>Działanie 1.3</t>
  </si>
  <si>
    <t>Działanie 1.4</t>
  </si>
  <si>
    <t>Działanie 1.5</t>
  </si>
  <si>
    <t>Działanie 1.6</t>
  </si>
  <si>
    <t>Działanie 2.1</t>
  </si>
  <si>
    <t>Działanie 2.2</t>
  </si>
  <si>
    <t>Działanie 2.3</t>
  </si>
  <si>
    <t>Działanie 2.4</t>
  </si>
  <si>
    <t>Działanie 2.5</t>
  </si>
  <si>
    <t>Działanie 2.6</t>
  </si>
  <si>
    <t>Działanie 2.7</t>
  </si>
  <si>
    <t>Działanie 2.8</t>
  </si>
  <si>
    <t>Działanie 2.9</t>
  </si>
  <si>
    <t>Działanie 2.10</t>
  </si>
  <si>
    <t>Działanie 2.11</t>
  </si>
  <si>
    <t>Działanie 2.12</t>
  </si>
  <si>
    <t>Działanie 2.13</t>
  </si>
  <si>
    <t>Działanie 2.14</t>
  </si>
  <si>
    <t>Działanie 2.15</t>
  </si>
  <si>
    <t>Działanie 2.16</t>
  </si>
  <si>
    <t>Działanie 2.17</t>
  </si>
  <si>
    <t>Działanie 5.1</t>
  </si>
  <si>
    <t>Działanie 5.2</t>
  </si>
  <si>
    <t>Działanie 5.3</t>
  </si>
  <si>
    <t>Działanie 5.4</t>
  </si>
  <si>
    <t>Działanie 5.5</t>
  </si>
  <si>
    <t>Działanie 5.6</t>
  </si>
  <si>
    <t>Działanie 5.7</t>
  </si>
  <si>
    <t>Działanie 5.8</t>
  </si>
  <si>
    <t>Działanie 5.9</t>
  </si>
  <si>
    <t>Działanie 5.10</t>
  </si>
  <si>
    <t>Działanie 5.11</t>
  </si>
  <si>
    <t>Działanie 5.12</t>
  </si>
  <si>
    <t>Działanie 5.13</t>
  </si>
  <si>
    <t>Działanie 5.14</t>
  </si>
  <si>
    <t>Działanie 5.15</t>
  </si>
  <si>
    <t>Działanie 5.16</t>
  </si>
  <si>
    <t>Działanie 5.17</t>
  </si>
  <si>
    <t>Działanie 5.18</t>
  </si>
  <si>
    <t>Działanie 5.19</t>
  </si>
  <si>
    <t>Działanie 5.20</t>
  </si>
  <si>
    <t>Działanie 5.21</t>
  </si>
  <si>
    <t>Fundusze europejskie dla silnego społecznie Pomorza (EFS+)</t>
  </si>
  <si>
    <t>Rynek pracy</t>
  </si>
  <si>
    <t>Rynek pracy – projekty powiatowych urzędów pracy</t>
  </si>
  <si>
    <t>Modernizacja instytucji rynku pracy</t>
  </si>
  <si>
    <t>Kobiety na rynku pracy</t>
  </si>
  <si>
    <t>Aktywne i zdrowe starzenie się</t>
  </si>
  <si>
    <t>Adaptacyjność pracowników i pracodawców</t>
  </si>
  <si>
    <t>Edukacja przedszkolna</t>
  </si>
  <si>
    <t>Edukacja ogólna i zawodowa</t>
  </si>
  <si>
    <t>Kształcenie ustawiczne</t>
  </si>
  <si>
    <t>Kształcenie ustawiczne – wsparcie pozadotacyjne</t>
  </si>
  <si>
    <t>Aktywne włączenie społeczne</t>
  </si>
  <si>
    <t>Aktywne włączenie społeczne – programy rewitalizacji</t>
  </si>
  <si>
    <t>Rozwój ekonomii społecznej</t>
  </si>
  <si>
    <t>Integracja migrantów – ZIT na terenie obszaru metropolitalnego</t>
  </si>
  <si>
    <t>Integracja migrantów – ZIT poza terenem obszaru metropolitalnego</t>
  </si>
  <si>
    <t>Usługi społeczne i zdrowotne</t>
  </si>
  <si>
    <t>Usługi społeczne i zdrowotne – ZIT na terenie obszaru metropolitalnego</t>
  </si>
  <si>
    <t>Usługi społeczne i zdrowotne – programy rewitalizacji</t>
  </si>
  <si>
    <t>Usługi społeczne i zdrowotne – RLKS</t>
  </si>
  <si>
    <t>Aktywność obywatelska</t>
  </si>
  <si>
    <t>Fundusze europejskie dla silnego społecznie Pomorza (EFRR)</t>
  </si>
  <si>
    <t>Infrastruktura edukacji przedszkolnej</t>
  </si>
  <si>
    <t>Infrastruktura edukacji włączającej i zawodowej</t>
  </si>
  <si>
    <t>Infrastruktura społeczna</t>
  </si>
  <si>
    <t>Infrastruktura społeczna – ZIT na terenie obszaru metropolitalnego</t>
  </si>
  <si>
    <t xml:space="preserve">Infrastruktura społeczna – programy rewitalizacji </t>
  </si>
  <si>
    <t>Infrastruktura społeczna – RLKS</t>
  </si>
  <si>
    <t>Infrastruktura zdrowia</t>
  </si>
  <si>
    <t>Infrastruktura zdrowia – ZIT na terenie obszaru metropolitalnego</t>
  </si>
  <si>
    <t>Infrastruktura zdrowia – ZIT poza terenem obszaru metropolitalnego</t>
  </si>
  <si>
    <t>Infrastruktura kultury</t>
  </si>
  <si>
    <t>Infrastruktura turystyki</t>
  </si>
  <si>
    <t>Infrastruktura turystyki – RLKS</t>
  </si>
  <si>
    <t>Dzialanie 6.1</t>
  </si>
  <si>
    <t>Dzialanie 6.2</t>
  </si>
  <si>
    <t>Dzialanie 6.3</t>
  </si>
  <si>
    <t>Dzialanie 6.4</t>
  </si>
  <si>
    <t>Dzialanie 6.5</t>
  </si>
  <si>
    <t>Dzialanie 6.6</t>
  </si>
  <si>
    <t>Dzialanie 6.7</t>
  </si>
  <si>
    <t>Dzialanie 6.8</t>
  </si>
  <si>
    <t>Dzialanie 6.9</t>
  </si>
  <si>
    <t>Dzialanie 6.10</t>
  </si>
  <si>
    <t>Dzialanie 6.11</t>
  </si>
  <si>
    <t>Dzialanie 6.12</t>
  </si>
  <si>
    <t>Dzialanie 9.1</t>
  </si>
  <si>
    <t>Dzialanie 8.1</t>
  </si>
  <si>
    <t>Dzialanie 7.1</t>
  </si>
  <si>
    <t>Rewitalizacja zdegradowanych obszarów miejskich</t>
  </si>
  <si>
    <t>Pomoc Techniczna EFS+</t>
  </si>
  <si>
    <t>Pomoc Techniczna EFRR</t>
  </si>
  <si>
    <t>Priorytet pomocy technicznej (EFRR)</t>
  </si>
  <si>
    <t>Priorytet pomocy technicznej (EFS+)</t>
  </si>
  <si>
    <t>RAZEM</t>
  </si>
  <si>
    <t>Ogółem EFS+</t>
  </si>
  <si>
    <t>Ogółem EFRR</t>
  </si>
  <si>
    <t>Ogółem</t>
  </si>
  <si>
    <t>2 (viii)</t>
  </si>
  <si>
    <t>3 (ii)</t>
  </si>
  <si>
    <t>4 (a)</t>
  </si>
  <si>
    <t>4 (vi)</t>
  </si>
  <si>
    <t>5 (i)</t>
  </si>
  <si>
    <t>nd</t>
  </si>
  <si>
    <t>2 (v)</t>
  </si>
  <si>
    <t>2 (vi)</t>
  </si>
  <si>
    <t>4 (f)</t>
  </si>
  <si>
    <t>4 (h)</t>
  </si>
  <si>
    <t>4 (ii)</t>
  </si>
  <si>
    <t>4 (v)</t>
  </si>
  <si>
    <t>2 (i)</t>
  </si>
  <si>
    <t>2 (ii)</t>
  </si>
  <si>
    <t>2 (iv)</t>
  </si>
  <si>
    <t>2 (vii)</t>
  </si>
  <si>
    <t>1 (i)</t>
  </si>
  <si>
    <t>1 (iii)</t>
  </si>
  <si>
    <t>4 (b)</t>
  </si>
  <si>
    <t>4 (c)</t>
  </si>
  <si>
    <t>4 (d)</t>
  </si>
  <si>
    <t>4 (g)</t>
  </si>
  <si>
    <t>4 (i)</t>
  </si>
  <si>
    <t>4 (k)</t>
  </si>
  <si>
    <t>4 (l)</t>
  </si>
  <si>
    <t>4 (iii)</t>
  </si>
  <si>
    <t>Priorytet</t>
  </si>
  <si>
    <t>Cel Polityki</t>
  </si>
  <si>
    <t>Działanie</t>
  </si>
  <si>
    <t>Cel szczegółowy</t>
  </si>
  <si>
    <t>Zakres interwencji</t>
  </si>
  <si>
    <t>Orientacyjna alokacja UE</t>
  </si>
  <si>
    <t>(numer)</t>
  </si>
  <si>
    <t>(kod)</t>
  </si>
  <si>
    <t>(EUR)</t>
  </si>
  <si>
    <t>001</t>
  </si>
  <si>
    <t>002</t>
  </si>
  <si>
    <t>003</t>
  </si>
  <si>
    <t>005</t>
  </si>
  <si>
    <t>006</t>
  </si>
  <si>
    <t>007</t>
  </si>
  <si>
    <t>009</t>
  </si>
  <si>
    <t>010</t>
  </si>
  <si>
    <t>011</t>
  </si>
  <si>
    <t>020</t>
  </si>
  <si>
    <t>021</t>
  </si>
  <si>
    <t>024</t>
  </si>
  <si>
    <t>013</t>
  </si>
  <si>
    <t>042</t>
  </si>
  <si>
    <t>044</t>
  </si>
  <si>
    <t>045</t>
  </si>
  <si>
    <t>046</t>
  </si>
  <si>
    <t>054</t>
  </si>
  <si>
    <t>047</t>
  </si>
  <si>
    <t>048</t>
  </si>
  <si>
    <t>050</t>
  </si>
  <si>
    <t>052</t>
  </si>
  <si>
    <t>058</t>
  </si>
  <si>
    <t>060</t>
  </si>
  <si>
    <t>062</t>
  </si>
  <si>
    <t>065</t>
  </si>
  <si>
    <t>067</t>
  </si>
  <si>
    <t>040</t>
  </si>
  <si>
    <t>075</t>
  </si>
  <si>
    <t>078</t>
  </si>
  <si>
    <t>079</t>
  </si>
  <si>
    <t>077</t>
  </si>
  <si>
    <t>081</t>
  </si>
  <si>
    <t>082</t>
  </si>
  <si>
    <t>083</t>
  </si>
  <si>
    <t>085</t>
  </si>
  <si>
    <t>086</t>
  </si>
  <si>
    <t>093</t>
  </si>
  <si>
    <t>PT</t>
  </si>
  <si>
    <t>1 (ii)</t>
  </si>
  <si>
    <t>016</t>
  </si>
  <si>
    <t>019</t>
  </si>
  <si>
    <t>023</t>
  </si>
  <si>
    <t>026</t>
  </si>
  <si>
    <t>055</t>
  </si>
  <si>
    <t>Tabela finansowa nr 1. Alokacja Programu w podziale na działania, wsparcie UE i wkład krajowy (w EUR)</t>
  </si>
  <si>
    <t>Priorytet 10</t>
  </si>
  <si>
    <t>Priorytet 11</t>
  </si>
  <si>
    <t>Priorytet 12</t>
  </si>
  <si>
    <t>Priorytet 13</t>
  </si>
  <si>
    <t>Priorytet 14</t>
  </si>
  <si>
    <t>Dzialanie 10.1</t>
  </si>
  <si>
    <t>Dzialanie 11.1</t>
  </si>
  <si>
    <t>Dzialanie 12.1</t>
  </si>
  <si>
    <t>Dzialanie 13.1</t>
  </si>
  <si>
    <t>Dzialanie 14.1</t>
  </si>
  <si>
    <t>Dzialanie 14.2</t>
  </si>
  <si>
    <t>4 (vii)</t>
  </si>
  <si>
    <t>3 (iii)</t>
  </si>
  <si>
    <t>1 (vii)</t>
  </si>
  <si>
    <t>Dzialanie 12.2</t>
  </si>
  <si>
    <t>Dzialanie 12.3</t>
  </si>
  <si>
    <t>Dzialanie 12.4</t>
  </si>
  <si>
    <t>Finansowanie ogółem</t>
  </si>
  <si>
    <t>Infrastruktura dostępnych cenowo mieszkań</t>
  </si>
  <si>
    <t>Adaptacyjność pracowników i pracodawców - gotowość na czas kryzysu</t>
  </si>
  <si>
    <t>Edukacja ogólna i zawodowa - gotowość na czas kryzysu</t>
  </si>
  <si>
    <t>Bezpieczna infrastruktura drogowa</t>
  </si>
  <si>
    <t>Tabor kolejowy na potrzeby bezpiecznej ewakuacji</t>
  </si>
  <si>
    <t>Bezpieczne systemy informatyczne</t>
  </si>
  <si>
    <t>Bezpieczna infrastruktura ochrony ludności</t>
  </si>
  <si>
    <t>Bezpieczna gospodarka wodna</t>
  </si>
  <si>
    <t>Fundusze europejskie dla bezpiecznego dostępu do wody na Pomorzu (EFRR)</t>
  </si>
  <si>
    <t>Fundusze europejskie dla Pomorza bliższego obywatelom (EFRR)</t>
  </si>
  <si>
    <t>Fundusze europejskie dla lepiej połączonego Pomorza (EFRR)</t>
  </si>
  <si>
    <t>Fundusze europejskie dla mobilnego Pomorza (EFRR)</t>
  </si>
  <si>
    <t>Fundusze europejskie dla konkurencyjnego i inteligentnego Pomorza (EFRR)</t>
  </si>
  <si>
    <t>Fundusze europejskie dla zielonego Pomorza (EFRR)</t>
  </si>
  <si>
    <t>Fundusze europejskie dla rozwoju technologii podwójnego zastosowania na Pomorzu (EFRR)</t>
  </si>
  <si>
    <t>Wsparcie przedsiębiorstw w zakresie technologii podwójnego zastosowania</t>
  </si>
  <si>
    <t>Fundusze europejskie dla bezpiecznego Pomorza (EFRR)</t>
  </si>
  <si>
    <t>Fundusze europejskie dla zwiększania dostępu do przystępnych cenowo i zrównoważonych mieszkań na Pomorzu (EFRR)</t>
  </si>
  <si>
    <t>Fundusze europejskie dla kompetentnego Pomorza (EFS+)</t>
  </si>
  <si>
    <t>Integracja migrantów (działanie usunięte)</t>
  </si>
  <si>
    <t>Odnawialne źródła energii (działanie usunięte)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</si>
</sst>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name val="Tahoma"/>
      <family val="2"/>
      <charset val="238"/>
    </font>
    <font>
      <b/>
      <sz val="8"/>
      <color theme="1" tint="0.34998626667073579"/>
      <name val="Tahoma"/>
      <family val="2"/>
      <charset val="238"/>
    </font>
    <font>
      <b/>
      <sz val="7"/>
      <color theme="0"/>
      <name val="Tahoma"/>
      <family val="2"/>
      <charset val="238"/>
    </font>
    <font>
      <sz val="7"/>
      <color theme="1"/>
      <name val="Tahoma"/>
      <family val="2"/>
      <charset val="238"/>
    </font>
    <font>
      <sz val="7"/>
      <color theme="0" tint="-0.249977111117893"/>
      <name val="Tahoma"/>
      <family val="2"/>
      <charset val="238"/>
    </font>
    <font>
      <sz val="8"/>
      <color theme="0" tint="-0.249977111117893"/>
      <name val="Tahoma"/>
      <family val="2"/>
      <charset val="238"/>
    </font>
    <font>
      <b/>
      <sz val="14"/>
      <color theme="1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7"/>
      <name val="Tahoma"/>
      <family val="2"/>
      <charset val="238"/>
    </font>
    <font>
      <b/>
      <sz val="8"/>
      <name val="Tahoma"/>
      <family val="2"/>
      <charset val="238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2" borderId="1" xfId="0" quotePrefix="1" applyFont="1" applyFill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2" fillId="2" borderId="15" xfId="0" applyFont="1" applyFill="1" applyBorder="1" applyAlignment="1">
      <alignment horizontal="center" vertical="center"/>
    </xf>
    <xf numFmtId="0" fontId="3" fillId="2" borderId="14" xfId="0" applyFont="1" applyFill="1" applyBorder="1"/>
    <xf numFmtId="0" fontId="3" fillId="2" borderId="15" xfId="0" applyFont="1" applyFill="1" applyBorder="1"/>
    <xf numFmtId="0" fontId="2" fillId="3" borderId="14" xfId="0" applyFont="1" applyFill="1" applyBorder="1"/>
    <xf numFmtId="0" fontId="2" fillId="3" borderId="1" xfId="0" applyFont="1" applyFill="1" applyBorder="1"/>
    <xf numFmtId="16" fontId="2" fillId="3" borderId="3" xfId="0" quotePrefix="1" applyNumberFormat="1" applyFont="1" applyFill="1" applyBorder="1"/>
    <xf numFmtId="0" fontId="2" fillId="3" borderId="17" xfId="0" applyFont="1" applyFill="1" applyBorder="1"/>
    <xf numFmtId="0" fontId="2" fillId="3" borderId="4" xfId="0" applyFont="1" applyFill="1" applyBorder="1"/>
    <xf numFmtId="0" fontId="3" fillId="4" borderId="14" xfId="0" applyFont="1" applyFill="1" applyBorder="1"/>
    <xf numFmtId="0" fontId="3" fillId="4" borderId="1" xfId="0" applyFont="1" applyFill="1" applyBorder="1"/>
    <xf numFmtId="0" fontId="5" fillId="4" borderId="17" xfId="0" applyFont="1" applyFill="1" applyBorder="1"/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5" fillId="4" borderId="14" xfId="0" applyFont="1" applyFill="1" applyBorder="1"/>
    <xf numFmtId="0" fontId="5" fillId="4" borderId="1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4" fillId="0" borderId="0" xfId="0" applyFont="1" applyAlignment="1">
      <alignment horizontal="center" vertical="center"/>
    </xf>
    <xf numFmtId="3" fontId="3" fillId="0" borderId="0" xfId="0" applyNumberFormat="1" applyFont="1"/>
    <xf numFmtId="3" fontId="3" fillId="0" borderId="0" xfId="1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0" fontId="7" fillId="2" borderId="1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/>
    <xf numFmtId="3" fontId="3" fillId="0" borderId="0" xfId="0" applyNumberFormat="1" applyFont="1" applyAlignment="1">
      <alignment horizontal="right"/>
    </xf>
    <xf numFmtId="0" fontId="3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9" fontId="3" fillId="0" borderId="0" xfId="1" applyFont="1" applyBorder="1"/>
    <xf numFmtId="3" fontId="9" fillId="0" borderId="0" xfId="0" applyNumberFormat="1" applyFont="1"/>
    <xf numFmtId="3" fontId="9" fillId="0" borderId="0" xfId="0" applyNumberFormat="1" applyFont="1" applyAlignment="1">
      <alignment horizontal="center" vertical="center"/>
    </xf>
    <xf numFmtId="3" fontId="10" fillId="0" borderId="0" xfId="0" applyNumberFormat="1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5" borderId="8" xfId="0" applyNumberFormat="1" applyFont="1" applyFill="1" applyBorder="1"/>
    <xf numFmtId="3" fontId="4" fillId="6" borderId="8" xfId="0" applyNumberFormat="1" applyFont="1" applyFill="1" applyBorder="1"/>
    <xf numFmtId="3" fontId="4" fillId="6" borderId="7" xfId="0" applyNumberFormat="1" applyFont="1" applyFill="1" applyBorder="1"/>
    <xf numFmtId="3" fontId="4" fillId="6" borderId="1" xfId="0" applyNumberFormat="1" applyFont="1" applyFill="1" applyBorder="1"/>
    <xf numFmtId="3" fontId="4" fillId="6" borderId="2" xfId="0" applyNumberFormat="1" applyFont="1" applyFill="1" applyBorder="1"/>
    <xf numFmtId="3" fontId="4" fillId="6" borderId="16" xfId="0" applyNumberFormat="1" applyFont="1" applyFill="1" applyBorder="1"/>
    <xf numFmtId="3" fontId="4" fillId="6" borderId="9" xfId="0" applyNumberFormat="1" applyFont="1" applyFill="1" applyBorder="1"/>
    <xf numFmtId="3" fontId="3" fillId="7" borderId="7" xfId="0" applyNumberFormat="1" applyFont="1" applyFill="1" applyBorder="1"/>
    <xf numFmtId="3" fontId="3" fillId="7" borderId="1" xfId="0" applyNumberFormat="1" applyFont="1" applyFill="1" applyBorder="1"/>
    <xf numFmtId="3" fontId="3" fillId="7" borderId="2" xfId="0" applyNumberFormat="1" applyFont="1" applyFill="1" applyBorder="1"/>
    <xf numFmtId="3" fontId="3" fillId="7" borderId="16" xfId="0" applyNumberFormat="1" applyFont="1" applyFill="1" applyBorder="1"/>
    <xf numFmtId="0" fontId="2" fillId="2" borderId="14" xfId="0" applyFont="1" applyFill="1" applyBorder="1"/>
    <xf numFmtId="0" fontId="6" fillId="2" borderId="1" xfId="0" applyFont="1" applyFill="1" applyBorder="1"/>
    <xf numFmtId="0" fontId="2" fillId="2" borderId="1" xfId="0" applyFont="1" applyFill="1" applyBorder="1"/>
    <xf numFmtId="0" fontId="2" fillId="2" borderId="18" xfId="0" applyFont="1" applyFill="1" applyBorder="1"/>
    <xf numFmtId="0" fontId="6" fillId="2" borderId="19" xfId="0" applyFont="1" applyFill="1" applyBorder="1"/>
    <xf numFmtId="0" fontId="2" fillId="2" borderId="19" xfId="0" applyFont="1" applyFill="1" applyBorder="1"/>
    <xf numFmtId="3" fontId="2" fillId="2" borderId="1" xfId="0" applyNumberFormat="1" applyFont="1" applyFill="1" applyBorder="1"/>
    <xf numFmtId="3" fontId="2" fillId="2" borderId="10" xfId="0" applyNumberFormat="1" applyFont="1" applyFill="1" applyBorder="1"/>
    <xf numFmtId="3" fontId="2" fillId="2" borderId="21" xfId="0" applyNumberFormat="1" applyFont="1" applyFill="1" applyBorder="1"/>
    <xf numFmtId="3" fontId="2" fillId="2" borderId="19" xfId="0" applyNumberFormat="1" applyFont="1" applyFill="1" applyBorder="1"/>
    <xf numFmtId="3" fontId="2" fillId="2" borderId="22" xfId="0" applyNumberFormat="1" applyFont="1" applyFill="1" applyBorder="1"/>
    <xf numFmtId="3" fontId="2" fillId="2" borderId="23" xfId="0" applyNumberFormat="1" applyFont="1" applyFill="1" applyBorder="1"/>
    <xf numFmtId="3" fontId="3" fillId="8" borderId="7" xfId="0" applyNumberFormat="1" applyFont="1" applyFill="1" applyBorder="1"/>
    <xf numFmtId="3" fontId="3" fillId="8" borderId="1" xfId="0" applyNumberFormat="1" applyFont="1" applyFill="1" applyBorder="1"/>
    <xf numFmtId="3" fontId="3" fillId="8" borderId="2" xfId="0" applyNumberFormat="1" applyFont="1" applyFill="1" applyBorder="1"/>
    <xf numFmtId="3" fontId="3" fillId="8" borderId="16" xfId="0" applyNumberFormat="1" applyFont="1" applyFill="1" applyBorder="1"/>
    <xf numFmtId="0" fontId="11" fillId="0" borderId="2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/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/>
    </xf>
    <xf numFmtId="3" fontId="5" fillId="7" borderId="1" xfId="0" applyNumberFormat="1" applyFont="1" applyFill="1" applyBorder="1"/>
    <xf numFmtId="3" fontId="10" fillId="0" borderId="27" xfId="0" applyNumberFormat="1" applyFont="1" applyBorder="1"/>
    <xf numFmtId="3" fontId="3" fillId="0" borderId="26" xfId="0" applyNumberFormat="1" applyFont="1" applyBorder="1"/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9" borderId="1" xfId="0" quotePrefix="1" applyFont="1" applyFill="1" applyBorder="1" applyAlignment="1">
      <alignment horizontal="center" vertical="center"/>
    </xf>
    <xf numFmtId="0" fontId="3" fillId="9" borderId="1" xfId="0" quotePrefix="1" applyFont="1" applyFill="1" applyBorder="1" applyAlignment="1">
      <alignment horizontal="center" vertical="center"/>
    </xf>
    <xf numFmtId="3" fontId="5" fillId="9" borderId="1" xfId="0" applyNumberFormat="1" applyFont="1" applyFill="1" applyBorder="1"/>
    <xf numFmtId="3" fontId="5" fillId="9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6" borderId="17" xfId="0" applyNumberFormat="1" applyFont="1" applyFill="1" applyBorder="1"/>
    <xf numFmtId="3" fontId="4" fillId="6" borderId="28" xfId="0" applyNumberFormat="1" applyFont="1" applyFill="1" applyBorder="1"/>
    <xf numFmtId="3" fontId="5" fillId="8" borderId="1" xfId="0" applyNumberFormat="1" applyFont="1" applyFill="1" applyBorder="1"/>
    <xf numFmtId="0" fontId="2" fillId="2" borderId="6" xfId="0" applyFont="1" applyFill="1" applyBorder="1" applyAlignment="1">
      <alignment vertical="center" textRotation="90" wrapText="1"/>
    </xf>
    <xf numFmtId="0" fontId="2" fillId="2" borderId="5" xfId="0" applyFont="1" applyFill="1" applyBorder="1" applyAlignment="1">
      <alignment vertical="center" textRotation="90" wrapText="1"/>
    </xf>
    <xf numFmtId="0" fontId="2" fillId="2" borderId="20" xfId="0" applyFont="1" applyFill="1" applyBorder="1" applyAlignment="1">
      <alignment vertical="center" textRotation="90" wrapText="1"/>
    </xf>
    <xf numFmtId="3" fontId="12" fillId="0" borderId="0" xfId="0" applyNumberFormat="1" applyFont="1"/>
    <xf numFmtId="3" fontId="14" fillId="6" borderId="1" xfId="0" applyNumberFormat="1" applyFont="1" applyFill="1" applyBorder="1"/>
    <xf numFmtId="9" fontId="3" fillId="0" borderId="0" xfId="1" applyFont="1"/>
    <xf numFmtId="10" fontId="3" fillId="0" borderId="0" xfId="1" applyNumberFormat="1" applyFont="1"/>
    <xf numFmtId="3" fontId="5" fillId="7" borderId="2" xfId="0" applyNumberFormat="1" applyFont="1" applyFill="1" applyBorder="1"/>
    <xf numFmtId="0" fontId="2" fillId="2" borderId="12" xfId="0" applyFont="1" applyFill="1" applyBorder="1" applyAlignment="1">
      <alignment vertical="center" textRotation="90" wrapText="1"/>
    </xf>
    <xf numFmtId="0" fontId="2" fillId="2" borderId="1" xfId="0" applyFont="1" applyFill="1" applyBorder="1" applyAlignment="1">
      <alignment vertical="center" textRotation="90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" fontId="10" fillId="0" borderId="2" xfId="0" applyNumberFormat="1" applyFont="1" applyBorder="1"/>
    <xf numFmtId="3" fontId="3" fillId="0" borderId="28" xfId="0" applyNumberFormat="1" applyFont="1" applyBorder="1"/>
    <xf numFmtId="3" fontId="10" fillId="0" borderId="6" xfId="0" applyNumberFormat="1" applyFont="1" applyBorder="1"/>
    <xf numFmtId="3" fontId="3" fillId="0" borderId="29" xfId="0" applyNumberFormat="1" applyFont="1" applyBorder="1"/>
    <xf numFmtId="0" fontId="3" fillId="9" borderId="1" xfId="0" applyFont="1" applyFill="1" applyBorder="1" applyAlignment="1">
      <alignment horizontal="center" vertical="center"/>
    </xf>
    <xf numFmtId="3" fontId="5" fillId="7" borderId="7" xfId="0" applyNumberFormat="1" applyFont="1" applyFill="1" applyBorder="1"/>
    <xf numFmtId="3" fontId="14" fillId="6" borderId="8" xfId="0" applyNumberFormat="1" applyFont="1" applyFill="1" applyBorder="1"/>
    <xf numFmtId="3" fontId="14" fillId="6" borderId="7" xfId="0" applyNumberFormat="1" applyFont="1" applyFill="1" applyBorder="1"/>
    <xf numFmtId="0" fontId="3" fillId="0" borderId="26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25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FC5C5"/>
      <color rgb="FFFFD1D1"/>
      <color rgb="FFB9F6A0"/>
      <color rgb="FF8CF0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6"/>
  <sheetViews>
    <sheetView tabSelected="1" zoomScaleNormal="100" workbookViewId="0">
      <pane xSplit="3" ySplit="6" topLeftCell="D31" activePane="bottomRight" state="frozen"/>
      <selection activeCell="I55" sqref="I55"/>
      <selection pane="topRight" activeCell="I55" sqref="I55"/>
      <selection pane="bottomLeft" activeCell="I55" sqref="I55"/>
      <selection pane="bottomRight" activeCell="N1" sqref="N1:Q1"/>
    </sheetView>
  </sheetViews>
  <sheetFormatPr defaultRowHeight="10.199999999999999" x14ac:dyDescent="0.2"/>
  <cols>
    <col min="1" max="1" width="11.109375" style="2" customWidth="1"/>
    <col min="2" max="2" width="5.6640625" style="2" customWidth="1"/>
    <col min="3" max="3" width="40.5546875" style="2" customWidth="1"/>
    <col min="4" max="4" width="4.5546875" style="2" customWidth="1"/>
    <col min="5" max="5" width="13.109375" style="2" customWidth="1"/>
    <col min="6" max="6" width="8.88671875" style="2"/>
    <col min="7" max="7" width="12.21875" style="2" bestFit="1" customWidth="1"/>
    <col min="8" max="8" width="10.5546875" style="2" bestFit="1" customWidth="1"/>
    <col min="9" max="9" width="8.88671875" style="2"/>
    <col min="10" max="10" width="12.88671875" style="2" bestFit="1" customWidth="1"/>
    <col min="11" max="11" width="10.44140625" style="2" customWidth="1"/>
    <col min="12" max="13" width="10" style="2" customWidth="1"/>
    <col min="14" max="14" width="10.5546875" style="2" customWidth="1"/>
    <col min="15" max="15" width="10.77734375" style="2" customWidth="1"/>
    <col min="16" max="16" width="13.44140625" style="2" customWidth="1"/>
    <col min="17" max="16384" width="8.88671875" style="2"/>
  </cols>
  <sheetData>
    <row r="1" spans="1:18" ht="50.4" customHeight="1" thickBot="1" x14ac:dyDescent="0.25">
      <c r="A1" s="77" t="s">
        <v>257</v>
      </c>
      <c r="B1" s="77"/>
      <c r="C1" s="77"/>
      <c r="D1" s="77"/>
      <c r="E1" s="77"/>
      <c r="F1" s="77"/>
      <c r="G1" s="77"/>
      <c r="H1" s="77"/>
      <c r="I1" s="77"/>
      <c r="N1" s="140"/>
      <c r="O1" s="141"/>
      <c r="P1" s="141"/>
      <c r="Q1" s="141"/>
    </row>
    <row r="2" spans="1:18" ht="10.199999999999999" customHeight="1" x14ac:dyDescent="0.2">
      <c r="A2" s="143" t="s">
        <v>0</v>
      </c>
      <c r="B2" s="145" t="s">
        <v>1</v>
      </c>
      <c r="C2" s="145"/>
      <c r="D2" s="110" t="s">
        <v>2</v>
      </c>
      <c r="E2" s="142" t="s">
        <v>3</v>
      </c>
      <c r="F2" s="142"/>
      <c r="G2" s="142"/>
      <c r="H2" s="142"/>
      <c r="I2" s="142"/>
      <c r="J2" s="48" t="s">
        <v>9</v>
      </c>
      <c r="K2" s="142" t="s">
        <v>10</v>
      </c>
      <c r="L2" s="142"/>
      <c r="M2" s="142"/>
      <c r="N2" s="142"/>
      <c r="O2" s="147" t="s">
        <v>14</v>
      </c>
      <c r="P2" s="147" t="s">
        <v>275</v>
      </c>
      <c r="Q2" s="149" t="s">
        <v>15</v>
      </c>
    </row>
    <row r="3" spans="1:18" ht="30.6" x14ac:dyDescent="0.2">
      <c r="A3" s="144"/>
      <c r="B3" s="146"/>
      <c r="C3" s="146"/>
      <c r="D3" s="111"/>
      <c r="E3" s="49" t="s">
        <v>4</v>
      </c>
      <c r="F3" s="49" t="s">
        <v>5</v>
      </c>
      <c r="G3" s="49" t="s">
        <v>6</v>
      </c>
      <c r="H3" s="49" t="s">
        <v>7</v>
      </c>
      <c r="I3" s="49" t="s">
        <v>8</v>
      </c>
      <c r="J3" s="49" t="s">
        <v>4</v>
      </c>
      <c r="K3" s="49" t="s">
        <v>4</v>
      </c>
      <c r="L3" s="49" t="s">
        <v>11</v>
      </c>
      <c r="M3" s="49" t="s">
        <v>12</v>
      </c>
      <c r="N3" s="49" t="s">
        <v>13</v>
      </c>
      <c r="O3" s="148"/>
      <c r="P3" s="148"/>
      <c r="Q3" s="150"/>
    </row>
    <row r="4" spans="1:18" x14ac:dyDescent="0.2">
      <c r="A4" s="144"/>
      <c r="B4" s="146"/>
      <c r="C4" s="146"/>
      <c r="D4" s="111"/>
      <c r="E4" s="4" t="s">
        <v>16</v>
      </c>
      <c r="F4" s="4" t="s">
        <v>17</v>
      </c>
      <c r="G4" s="4" t="s">
        <v>18</v>
      </c>
      <c r="H4" s="4" t="s">
        <v>19</v>
      </c>
      <c r="I4" s="4" t="s">
        <v>20</v>
      </c>
      <c r="J4" s="4" t="s">
        <v>21</v>
      </c>
      <c r="K4" s="4" t="s">
        <v>22</v>
      </c>
      <c r="L4" s="4" t="s">
        <v>23</v>
      </c>
      <c r="M4" s="4" t="s">
        <v>24</v>
      </c>
      <c r="N4" s="4" t="s">
        <v>25</v>
      </c>
      <c r="O4" s="4" t="s">
        <v>28</v>
      </c>
      <c r="P4" s="4" t="s">
        <v>26</v>
      </c>
      <c r="Q4" s="6" t="s">
        <v>27</v>
      </c>
    </row>
    <row r="5" spans="1:18" x14ac:dyDescent="0.2">
      <c r="A5" s="144"/>
      <c r="B5" s="146"/>
      <c r="C5" s="146"/>
      <c r="D5" s="111"/>
      <c r="E5" s="1" t="s">
        <v>29</v>
      </c>
      <c r="F5" s="4"/>
      <c r="G5" s="4"/>
      <c r="H5" s="4"/>
      <c r="I5" s="4"/>
      <c r="J5" s="1" t="s">
        <v>30</v>
      </c>
      <c r="K5" s="1" t="s">
        <v>31</v>
      </c>
      <c r="L5" s="4"/>
      <c r="M5" s="4"/>
      <c r="N5" s="4"/>
      <c r="O5" s="4"/>
      <c r="P5" s="1" t="s">
        <v>32</v>
      </c>
      <c r="Q5" s="6"/>
    </row>
    <row r="6" spans="1:18" ht="7.2" customHeight="1" x14ac:dyDescent="0.2">
      <c r="A6" s="7"/>
      <c r="B6" s="3"/>
      <c r="C6" s="3"/>
      <c r="D6" s="3"/>
      <c r="E6" s="5"/>
      <c r="F6" s="3"/>
      <c r="G6" s="3"/>
      <c r="H6" s="3"/>
      <c r="I6" s="3"/>
      <c r="J6" s="5"/>
      <c r="K6" s="5"/>
      <c r="L6" s="3"/>
      <c r="M6" s="3"/>
      <c r="N6" s="3"/>
      <c r="O6" s="3"/>
      <c r="P6" s="5"/>
      <c r="Q6" s="8"/>
    </row>
    <row r="7" spans="1:18" ht="15" customHeight="1" x14ac:dyDescent="0.2">
      <c r="A7" s="9" t="s">
        <v>33</v>
      </c>
      <c r="B7" s="27"/>
      <c r="C7" s="10" t="s">
        <v>288</v>
      </c>
      <c r="D7" s="102" t="s">
        <v>42</v>
      </c>
      <c r="E7" s="54">
        <f t="shared" ref="E7:F7" si="0">SUM(E8:E13)</f>
        <v>151188765</v>
      </c>
      <c r="F7" s="54">
        <f t="shared" si="0"/>
        <v>0</v>
      </c>
      <c r="G7" s="54">
        <f t="shared" ref="G7" si="1">SUM(G8:G13)</f>
        <v>151188765</v>
      </c>
      <c r="H7" s="54">
        <f t="shared" ref="H7" si="2">SUM(H8:H13)</f>
        <v>0</v>
      </c>
      <c r="I7" s="54">
        <f t="shared" ref="I7" si="3">SUM(I8:I13)</f>
        <v>0</v>
      </c>
      <c r="J7" s="54">
        <f t="shared" ref="J7" si="4">SUM(J8:J13)</f>
        <v>7957303.5999999996</v>
      </c>
      <c r="K7" s="54">
        <f t="shared" ref="K7" si="5">SUM(K8:K13)</f>
        <v>795730</v>
      </c>
      <c r="L7" s="54">
        <f t="shared" ref="L7:N7" si="6">SUM(L8:L13)</f>
        <v>0</v>
      </c>
      <c r="M7" s="54">
        <f t="shared" si="6"/>
        <v>0</v>
      </c>
      <c r="N7" s="54">
        <f t="shared" si="6"/>
        <v>795730</v>
      </c>
      <c r="O7" s="54">
        <f>SUM(O8:O13)</f>
        <v>7161573.5999999996</v>
      </c>
      <c r="P7" s="54">
        <f t="shared" ref="P7:Q7" si="7">SUM(P8:P13)</f>
        <v>159146068.59999999</v>
      </c>
      <c r="Q7" s="53">
        <f t="shared" si="7"/>
        <v>0</v>
      </c>
      <c r="R7" s="31"/>
    </row>
    <row r="8" spans="1:18" ht="15" customHeight="1" x14ac:dyDescent="0.2">
      <c r="A8" s="19" t="s">
        <v>75</v>
      </c>
      <c r="B8" s="23" t="s">
        <v>193</v>
      </c>
      <c r="C8" s="20" t="s">
        <v>53</v>
      </c>
      <c r="D8" s="103"/>
      <c r="E8" s="50">
        <f t="shared" ref="E8:E13" si="8">F8+G8+H8+I8</f>
        <v>40354011</v>
      </c>
      <c r="F8" s="57">
        <v>0</v>
      </c>
      <c r="G8" s="58">
        <v>40354011</v>
      </c>
      <c r="H8" s="58">
        <v>0</v>
      </c>
      <c r="I8" s="59">
        <v>0</v>
      </c>
      <c r="J8" s="50">
        <f t="shared" ref="J8:J13" si="9">K8+O8</f>
        <v>5029260</v>
      </c>
      <c r="K8" s="50">
        <f t="shared" ref="K8:K13" si="10">L8+M8+N8</f>
        <v>0</v>
      </c>
      <c r="L8" s="57">
        <v>0</v>
      </c>
      <c r="M8" s="58">
        <v>0</v>
      </c>
      <c r="N8" s="89">
        <v>0</v>
      </c>
      <c r="O8" s="109">
        <f>1911506+19019+2595810+502925</f>
        <v>5029260</v>
      </c>
      <c r="P8" s="50">
        <f t="shared" ref="P8:P13" si="11">E8+J8</f>
        <v>45383271</v>
      </c>
      <c r="Q8" s="60">
        <v>0</v>
      </c>
      <c r="R8" s="107"/>
    </row>
    <row r="9" spans="1:18" ht="15" customHeight="1" x14ac:dyDescent="0.2">
      <c r="A9" s="19" t="s">
        <v>76</v>
      </c>
      <c r="B9" s="23" t="s">
        <v>193</v>
      </c>
      <c r="C9" s="20" t="s">
        <v>54</v>
      </c>
      <c r="D9" s="103"/>
      <c r="E9" s="50">
        <f t="shared" si="8"/>
        <v>15280935</v>
      </c>
      <c r="F9" s="57">
        <v>0</v>
      </c>
      <c r="G9" s="58">
        <v>15280935</v>
      </c>
      <c r="H9" s="58">
        <v>0</v>
      </c>
      <c r="I9" s="59">
        <v>0</v>
      </c>
      <c r="J9" s="50">
        <f t="shared" si="9"/>
        <v>804260</v>
      </c>
      <c r="K9" s="50">
        <f t="shared" si="10"/>
        <v>80426</v>
      </c>
      <c r="L9" s="57">
        <v>0</v>
      </c>
      <c r="M9" s="58">
        <v>0</v>
      </c>
      <c r="N9" s="89">
        <v>80426</v>
      </c>
      <c r="O9" s="109">
        <v>723834</v>
      </c>
      <c r="P9" s="50">
        <f t="shared" si="11"/>
        <v>16085195</v>
      </c>
      <c r="Q9" s="60">
        <v>0</v>
      </c>
      <c r="R9" s="107"/>
    </row>
    <row r="10" spans="1:18" ht="15" customHeight="1" x14ac:dyDescent="0.2">
      <c r="A10" s="19" t="s">
        <v>77</v>
      </c>
      <c r="B10" s="23" t="s">
        <v>193</v>
      </c>
      <c r="C10" s="20" t="s">
        <v>55</v>
      </c>
      <c r="D10" s="103"/>
      <c r="E10" s="50">
        <f t="shared" si="8"/>
        <v>401516</v>
      </c>
      <c r="F10" s="57">
        <v>0</v>
      </c>
      <c r="G10" s="58">
        <f>3901516-3500000</f>
        <v>401516</v>
      </c>
      <c r="H10" s="58">
        <v>0</v>
      </c>
      <c r="I10" s="59">
        <v>0</v>
      </c>
      <c r="J10" s="50">
        <f t="shared" si="9"/>
        <v>0</v>
      </c>
      <c r="K10" s="50">
        <f t="shared" si="10"/>
        <v>0</v>
      </c>
      <c r="L10" s="57">
        <v>0</v>
      </c>
      <c r="M10" s="58">
        <v>0</v>
      </c>
      <c r="N10" s="89">
        <v>0</v>
      </c>
      <c r="O10" s="109">
        <v>0</v>
      </c>
      <c r="P10" s="50">
        <f t="shared" si="11"/>
        <v>401516</v>
      </c>
      <c r="Q10" s="60">
        <v>0</v>
      </c>
      <c r="R10" s="107"/>
    </row>
    <row r="11" spans="1:18" ht="15" customHeight="1" x14ac:dyDescent="0.2">
      <c r="A11" s="19" t="s">
        <v>78</v>
      </c>
      <c r="B11" s="23" t="s">
        <v>251</v>
      </c>
      <c r="C11" s="20" t="s">
        <v>56</v>
      </c>
      <c r="D11" s="103"/>
      <c r="E11" s="50">
        <f t="shared" si="8"/>
        <v>4605068</v>
      </c>
      <c r="F11" s="57">
        <v>0</v>
      </c>
      <c r="G11" s="58">
        <f>29395068-24790000</f>
        <v>4605068</v>
      </c>
      <c r="H11" s="58">
        <v>0</v>
      </c>
      <c r="I11" s="59">
        <v>0</v>
      </c>
      <c r="J11" s="50">
        <f t="shared" si="9"/>
        <v>242372</v>
      </c>
      <c r="K11" s="50">
        <f t="shared" si="10"/>
        <v>24237</v>
      </c>
      <c r="L11" s="57">
        <v>0</v>
      </c>
      <c r="M11" s="58">
        <v>0</v>
      </c>
      <c r="N11" s="89">
        <v>24237</v>
      </c>
      <c r="O11" s="109">
        <v>218135</v>
      </c>
      <c r="P11" s="50">
        <f t="shared" si="11"/>
        <v>4847440</v>
      </c>
      <c r="Q11" s="60">
        <v>0</v>
      </c>
      <c r="R11" s="107"/>
    </row>
    <row r="12" spans="1:18" ht="15" customHeight="1" x14ac:dyDescent="0.2">
      <c r="A12" s="19" t="s">
        <v>79</v>
      </c>
      <c r="B12" s="23" t="s">
        <v>194</v>
      </c>
      <c r="C12" s="20" t="s">
        <v>57</v>
      </c>
      <c r="D12" s="103"/>
      <c r="E12" s="50">
        <f t="shared" si="8"/>
        <v>54800424</v>
      </c>
      <c r="F12" s="57">
        <v>0</v>
      </c>
      <c r="G12" s="58">
        <f>59130424-4330000</f>
        <v>54800424</v>
      </c>
      <c r="H12" s="58">
        <v>0</v>
      </c>
      <c r="I12" s="59">
        <v>0</v>
      </c>
      <c r="J12" s="50">
        <f t="shared" si="9"/>
        <v>0</v>
      </c>
      <c r="K12" s="50">
        <f t="shared" si="10"/>
        <v>0</v>
      </c>
      <c r="L12" s="57">
        <v>0</v>
      </c>
      <c r="M12" s="58">
        <v>0</v>
      </c>
      <c r="N12" s="89">
        <v>0</v>
      </c>
      <c r="O12" s="109">
        <v>0</v>
      </c>
      <c r="P12" s="50">
        <f t="shared" si="11"/>
        <v>54800424</v>
      </c>
      <c r="Q12" s="60">
        <v>0</v>
      </c>
      <c r="R12" s="107"/>
    </row>
    <row r="13" spans="1:18" ht="15" customHeight="1" x14ac:dyDescent="0.2">
      <c r="A13" s="19" t="s">
        <v>80</v>
      </c>
      <c r="B13" s="23" t="s">
        <v>194</v>
      </c>
      <c r="C13" s="20" t="s">
        <v>58</v>
      </c>
      <c r="D13" s="103"/>
      <c r="E13" s="50">
        <f t="shared" si="8"/>
        <v>35746811</v>
      </c>
      <c r="F13" s="57">
        <v>0</v>
      </c>
      <c r="G13" s="58">
        <v>35746811</v>
      </c>
      <c r="H13" s="58">
        <v>0</v>
      </c>
      <c r="I13" s="59">
        <v>0</v>
      </c>
      <c r="J13" s="50">
        <f t="shared" si="9"/>
        <v>1881411.6</v>
      </c>
      <c r="K13" s="50">
        <f t="shared" si="10"/>
        <v>691067</v>
      </c>
      <c r="L13" s="57">
        <v>0</v>
      </c>
      <c r="M13" s="58">
        <v>0</v>
      </c>
      <c r="N13" s="58">
        <v>691067</v>
      </c>
      <c r="O13" s="59">
        <f>1693270-212389-2113.4-288423</f>
        <v>1190344.6000000001</v>
      </c>
      <c r="P13" s="50">
        <f t="shared" si="11"/>
        <v>37628222.600000001</v>
      </c>
      <c r="Q13" s="60">
        <v>0</v>
      </c>
      <c r="R13" s="107"/>
    </row>
    <row r="14" spans="1:18" ht="15" customHeight="1" x14ac:dyDescent="0.2">
      <c r="A14" s="9" t="s">
        <v>34</v>
      </c>
      <c r="B14" s="27"/>
      <c r="C14" s="10" t="s">
        <v>289</v>
      </c>
      <c r="D14" s="103"/>
      <c r="E14" s="55">
        <f t="shared" ref="E14:P14" si="12">SUM(E15:E31)</f>
        <v>286115242</v>
      </c>
      <c r="F14" s="100">
        <f t="shared" si="12"/>
        <v>0</v>
      </c>
      <c r="G14" s="53">
        <f t="shared" si="12"/>
        <v>286115242</v>
      </c>
      <c r="H14" s="53">
        <f t="shared" si="12"/>
        <v>0</v>
      </c>
      <c r="I14" s="55">
        <f t="shared" si="12"/>
        <v>0</v>
      </c>
      <c r="J14" s="55">
        <f t="shared" si="12"/>
        <v>18008697</v>
      </c>
      <c r="K14" s="55">
        <f t="shared" si="12"/>
        <v>16502827</v>
      </c>
      <c r="L14" s="100">
        <f t="shared" si="12"/>
        <v>2950000</v>
      </c>
      <c r="M14" s="53">
        <f t="shared" si="12"/>
        <v>0</v>
      </c>
      <c r="N14" s="53">
        <f t="shared" si="12"/>
        <v>13552827</v>
      </c>
      <c r="O14" s="55">
        <f t="shared" si="12"/>
        <v>1505870</v>
      </c>
      <c r="P14" s="55">
        <f t="shared" si="12"/>
        <v>304123939</v>
      </c>
      <c r="Q14" s="55">
        <f>SUM(Q15:Q31)</f>
        <v>0</v>
      </c>
      <c r="R14" s="31"/>
    </row>
    <row r="15" spans="1:18" ht="15" customHeight="1" x14ac:dyDescent="0.2">
      <c r="A15" s="19" t="s">
        <v>81</v>
      </c>
      <c r="B15" s="26" t="s">
        <v>189</v>
      </c>
      <c r="C15" s="21" t="s">
        <v>59</v>
      </c>
      <c r="D15" s="103"/>
      <c r="E15" s="50">
        <f t="shared" ref="E15:E31" si="13">F15+G15+H15+I15</f>
        <v>10196415</v>
      </c>
      <c r="F15" s="57">
        <v>0</v>
      </c>
      <c r="G15" s="89">
        <f>31845047-21648632</f>
        <v>10196415</v>
      </c>
      <c r="H15" s="58">
        <v>0</v>
      </c>
      <c r="I15" s="59">
        <v>0</v>
      </c>
      <c r="J15" s="50">
        <f t="shared" ref="J15:J31" si="14">K15+O15</f>
        <v>536653</v>
      </c>
      <c r="K15" s="50">
        <f t="shared" ref="K15:K31" si="15">L15+M15+N15</f>
        <v>482988</v>
      </c>
      <c r="L15" s="57">
        <v>0</v>
      </c>
      <c r="M15" s="58">
        <v>0</v>
      </c>
      <c r="N15" s="58">
        <v>482988</v>
      </c>
      <c r="O15" s="59">
        <v>53665</v>
      </c>
      <c r="P15" s="50">
        <f t="shared" ref="P15:P31" si="16">E15+J15</f>
        <v>10733068</v>
      </c>
      <c r="Q15" s="60">
        <v>0</v>
      </c>
      <c r="R15" s="31"/>
    </row>
    <row r="16" spans="1:18" ht="15" customHeight="1" x14ac:dyDescent="0.2">
      <c r="A16" s="19" t="s">
        <v>82</v>
      </c>
      <c r="B16" s="26" t="s">
        <v>189</v>
      </c>
      <c r="C16" s="21" t="s">
        <v>60</v>
      </c>
      <c r="D16" s="103"/>
      <c r="E16" s="50">
        <f t="shared" si="13"/>
        <v>51334374</v>
      </c>
      <c r="F16" s="57">
        <v>0</v>
      </c>
      <c r="G16" s="89">
        <v>51334374</v>
      </c>
      <c r="H16" s="58">
        <v>0</v>
      </c>
      <c r="I16" s="59">
        <v>0</v>
      </c>
      <c r="J16" s="50">
        <f t="shared" si="14"/>
        <v>2701809</v>
      </c>
      <c r="K16" s="50">
        <f t="shared" si="15"/>
        <v>2431628</v>
      </c>
      <c r="L16" s="57">
        <v>0</v>
      </c>
      <c r="M16" s="58">
        <v>0</v>
      </c>
      <c r="N16" s="58">
        <v>2431628</v>
      </c>
      <c r="O16" s="59">
        <v>270181</v>
      </c>
      <c r="P16" s="50">
        <f t="shared" si="16"/>
        <v>54036183</v>
      </c>
      <c r="Q16" s="60">
        <v>0</v>
      </c>
      <c r="R16" s="107"/>
    </row>
    <row r="17" spans="1:18" ht="15" customHeight="1" x14ac:dyDescent="0.2">
      <c r="A17" s="19" t="s">
        <v>83</v>
      </c>
      <c r="B17" s="26" t="s">
        <v>189</v>
      </c>
      <c r="C17" s="21" t="s">
        <v>61</v>
      </c>
      <c r="D17" s="103"/>
      <c r="E17" s="50">
        <f t="shared" si="13"/>
        <v>53173342</v>
      </c>
      <c r="F17" s="57">
        <v>0</v>
      </c>
      <c r="G17" s="89">
        <f>51364722+1808620</f>
        <v>53173342</v>
      </c>
      <c r="H17" s="58">
        <v>0</v>
      </c>
      <c r="I17" s="59">
        <v>0</v>
      </c>
      <c r="J17" s="50">
        <f t="shared" si="14"/>
        <v>2798597</v>
      </c>
      <c r="K17" s="50">
        <f t="shared" si="15"/>
        <v>2518737</v>
      </c>
      <c r="L17" s="57">
        <v>0</v>
      </c>
      <c r="M17" s="58">
        <v>0</v>
      </c>
      <c r="N17" s="58">
        <v>2518737</v>
      </c>
      <c r="O17" s="59">
        <v>279860</v>
      </c>
      <c r="P17" s="50">
        <f t="shared" si="16"/>
        <v>55971939</v>
      </c>
      <c r="Q17" s="60">
        <v>0</v>
      </c>
      <c r="R17" s="107"/>
    </row>
    <row r="18" spans="1:18" ht="15" customHeight="1" x14ac:dyDescent="0.2">
      <c r="A18" s="19" t="s">
        <v>84</v>
      </c>
      <c r="B18" s="26" t="s">
        <v>189</v>
      </c>
      <c r="C18" s="21" t="s">
        <v>62</v>
      </c>
      <c r="D18" s="103"/>
      <c r="E18" s="50">
        <f t="shared" si="13"/>
        <v>10000000</v>
      </c>
      <c r="F18" s="57">
        <v>0</v>
      </c>
      <c r="G18" s="89">
        <v>10000000</v>
      </c>
      <c r="H18" s="58">
        <v>0</v>
      </c>
      <c r="I18" s="59">
        <v>0</v>
      </c>
      <c r="J18" s="50">
        <f t="shared" si="14"/>
        <v>526315</v>
      </c>
      <c r="K18" s="50">
        <f t="shared" si="15"/>
        <v>473684</v>
      </c>
      <c r="L18" s="57">
        <v>0</v>
      </c>
      <c r="M18" s="58">
        <v>0</v>
      </c>
      <c r="N18" s="58">
        <v>473684</v>
      </c>
      <c r="O18" s="59">
        <v>52631</v>
      </c>
      <c r="P18" s="50">
        <f t="shared" si="16"/>
        <v>10526315</v>
      </c>
      <c r="Q18" s="60">
        <v>0</v>
      </c>
      <c r="R18" s="31"/>
    </row>
    <row r="19" spans="1:18" ht="15" customHeight="1" x14ac:dyDescent="0.2">
      <c r="A19" s="19" t="s">
        <v>85</v>
      </c>
      <c r="B19" s="26" t="s">
        <v>189</v>
      </c>
      <c r="C19" s="21" t="s">
        <v>63</v>
      </c>
      <c r="D19" s="103"/>
      <c r="E19" s="50">
        <f t="shared" si="13"/>
        <v>19365394</v>
      </c>
      <c r="F19" s="57">
        <v>0</v>
      </c>
      <c r="G19" s="89">
        <v>19365394</v>
      </c>
      <c r="H19" s="58">
        <v>0</v>
      </c>
      <c r="I19" s="59">
        <v>0</v>
      </c>
      <c r="J19" s="50">
        <f t="shared" si="14"/>
        <v>1019231</v>
      </c>
      <c r="K19" s="50">
        <f t="shared" si="15"/>
        <v>917308</v>
      </c>
      <c r="L19" s="57">
        <v>0</v>
      </c>
      <c r="M19" s="58">
        <v>0</v>
      </c>
      <c r="N19" s="58">
        <v>917308</v>
      </c>
      <c r="O19" s="59">
        <v>101923</v>
      </c>
      <c r="P19" s="50">
        <f t="shared" si="16"/>
        <v>20384625</v>
      </c>
      <c r="Q19" s="60">
        <v>0</v>
      </c>
      <c r="R19" s="31"/>
    </row>
    <row r="20" spans="1:18" ht="15" customHeight="1" x14ac:dyDescent="0.2">
      <c r="A20" s="19" t="s">
        <v>86</v>
      </c>
      <c r="B20" s="26" t="s">
        <v>190</v>
      </c>
      <c r="C20" s="21" t="s">
        <v>296</v>
      </c>
      <c r="D20" s="103"/>
      <c r="E20" s="50">
        <f t="shared" si="13"/>
        <v>0</v>
      </c>
      <c r="F20" s="57">
        <v>0</v>
      </c>
      <c r="G20" s="89">
        <f>14441670-14441670</f>
        <v>0</v>
      </c>
      <c r="H20" s="58">
        <v>0</v>
      </c>
      <c r="I20" s="59">
        <v>0</v>
      </c>
      <c r="J20" s="50">
        <f t="shared" si="14"/>
        <v>0</v>
      </c>
      <c r="K20" s="50">
        <f t="shared" si="15"/>
        <v>0</v>
      </c>
      <c r="L20" s="57">
        <v>0</v>
      </c>
      <c r="M20" s="58">
        <v>0</v>
      </c>
      <c r="N20" s="58">
        <v>0</v>
      </c>
      <c r="O20" s="59">
        <v>0</v>
      </c>
      <c r="P20" s="50">
        <f t="shared" si="16"/>
        <v>0</v>
      </c>
      <c r="Q20" s="60">
        <v>0</v>
      </c>
      <c r="R20" s="31"/>
    </row>
    <row r="21" spans="1:18" ht="15" customHeight="1" x14ac:dyDescent="0.2">
      <c r="A21" s="19" t="s">
        <v>87</v>
      </c>
      <c r="B21" s="26" t="s">
        <v>190</v>
      </c>
      <c r="C21" s="21" t="s">
        <v>64</v>
      </c>
      <c r="D21" s="103"/>
      <c r="E21" s="50">
        <f t="shared" si="13"/>
        <v>10000000</v>
      </c>
      <c r="F21" s="57">
        <v>0</v>
      </c>
      <c r="G21" s="89">
        <v>10000000</v>
      </c>
      <c r="H21" s="58">
        <v>0</v>
      </c>
      <c r="I21" s="59">
        <v>0</v>
      </c>
      <c r="J21" s="50">
        <f t="shared" si="14"/>
        <v>526315</v>
      </c>
      <c r="K21" s="50">
        <f t="shared" si="15"/>
        <v>473684</v>
      </c>
      <c r="L21" s="57">
        <v>0</v>
      </c>
      <c r="M21" s="58">
        <v>0</v>
      </c>
      <c r="N21" s="58">
        <v>473684</v>
      </c>
      <c r="O21" s="59">
        <v>52631</v>
      </c>
      <c r="P21" s="50">
        <f t="shared" si="16"/>
        <v>10526315</v>
      </c>
      <c r="Q21" s="60">
        <v>0</v>
      </c>
      <c r="R21" s="31"/>
    </row>
    <row r="22" spans="1:18" ht="15" customHeight="1" x14ac:dyDescent="0.2">
      <c r="A22" s="19" t="s">
        <v>88</v>
      </c>
      <c r="B22" s="26" t="s">
        <v>190</v>
      </c>
      <c r="C22" s="21" t="s">
        <v>65</v>
      </c>
      <c r="D22" s="103"/>
      <c r="E22" s="50">
        <f t="shared" si="13"/>
        <v>22916218</v>
      </c>
      <c r="F22" s="57">
        <v>0</v>
      </c>
      <c r="G22" s="89">
        <v>22916218</v>
      </c>
      <c r="H22" s="58">
        <v>0</v>
      </c>
      <c r="I22" s="59">
        <v>0</v>
      </c>
      <c r="J22" s="50">
        <f t="shared" si="14"/>
        <v>1206117</v>
      </c>
      <c r="K22" s="50">
        <f t="shared" si="15"/>
        <v>1085505</v>
      </c>
      <c r="L22" s="57">
        <v>0</v>
      </c>
      <c r="M22" s="58">
        <v>0</v>
      </c>
      <c r="N22" s="58">
        <v>1085505</v>
      </c>
      <c r="O22" s="59">
        <v>120612</v>
      </c>
      <c r="P22" s="50">
        <f t="shared" si="16"/>
        <v>24122335</v>
      </c>
      <c r="Q22" s="60">
        <v>0</v>
      </c>
      <c r="R22" s="31"/>
    </row>
    <row r="23" spans="1:18" ht="15" customHeight="1" x14ac:dyDescent="0.2">
      <c r="A23" s="19" t="s">
        <v>89</v>
      </c>
      <c r="B23" s="26" t="s">
        <v>191</v>
      </c>
      <c r="C23" s="21" t="s">
        <v>66</v>
      </c>
      <c r="D23" s="103"/>
      <c r="E23" s="50">
        <f t="shared" si="13"/>
        <v>11280846</v>
      </c>
      <c r="F23" s="57">
        <v>0</v>
      </c>
      <c r="G23" s="89">
        <v>11280846</v>
      </c>
      <c r="H23" s="58">
        <v>0</v>
      </c>
      <c r="I23" s="59">
        <v>0</v>
      </c>
      <c r="J23" s="50">
        <f t="shared" si="14"/>
        <v>889534</v>
      </c>
      <c r="K23" s="50">
        <f t="shared" si="15"/>
        <v>835581</v>
      </c>
      <c r="L23" s="57">
        <v>350000</v>
      </c>
      <c r="M23" s="58">
        <v>0</v>
      </c>
      <c r="N23" s="58">
        <v>485581</v>
      </c>
      <c r="O23" s="59">
        <v>53953</v>
      </c>
      <c r="P23" s="50">
        <f t="shared" si="16"/>
        <v>12170380</v>
      </c>
      <c r="Q23" s="60">
        <v>0</v>
      </c>
      <c r="R23" s="31"/>
    </row>
    <row r="24" spans="1:18" ht="15" customHeight="1" x14ac:dyDescent="0.2">
      <c r="A24" s="19" t="s">
        <v>90</v>
      </c>
      <c r="B24" s="26" t="s">
        <v>191</v>
      </c>
      <c r="C24" s="21" t="s">
        <v>67</v>
      </c>
      <c r="D24" s="103"/>
      <c r="E24" s="50">
        <f t="shared" si="13"/>
        <v>12013830</v>
      </c>
      <c r="F24" s="57">
        <v>0</v>
      </c>
      <c r="G24" s="89">
        <v>12013830</v>
      </c>
      <c r="H24" s="58">
        <v>0</v>
      </c>
      <c r="I24" s="59">
        <v>0</v>
      </c>
      <c r="J24" s="50">
        <f t="shared" si="14"/>
        <v>632307</v>
      </c>
      <c r="K24" s="50">
        <f t="shared" si="15"/>
        <v>569076</v>
      </c>
      <c r="L24" s="57">
        <v>0</v>
      </c>
      <c r="M24" s="58">
        <v>0</v>
      </c>
      <c r="N24" s="58">
        <v>569076</v>
      </c>
      <c r="O24" s="59">
        <v>63231</v>
      </c>
      <c r="P24" s="50">
        <f t="shared" si="16"/>
        <v>12646137</v>
      </c>
      <c r="Q24" s="60">
        <v>0</v>
      </c>
      <c r="R24" s="31"/>
    </row>
    <row r="25" spans="1:18" ht="15" customHeight="1" x14ac:dyDescent="0.2">
      <c r="A25" s="19" t="s">
        <v>91</v>
      </c>
      <c r="B25" s="26" t="s">
        <v>191</v>
      </c>
      <c r="C25" s="21" t="s">
        <v>68</v>
      </c>
      <c r="D25" s="103"/>
      <c r="E25" s="50">
        <f t="shared" si="13"/>
        <v>17773838</v>
      </c>
      <c r="F25" s="57">
        <v>0</v>
      </c>
      <c r="G25" s="89">
        <v>17773838</v>
      </c>
      <c r="H25" s="58">
        <v>0</v>
      </c>
      <c r="I25" s="59">
        <v>0</v>
      </c>
      <c r="J25" s="50">
        <f t="shared" si="14"/>
        <v>989660</v>
      </c>
      <c r="K25" s="50">
        <f t="shared" si="15"/>
        <v>890694</v>
      </c>
      <c r="L25" s="57">
        <v>0</v>
      </c>
      <c r="M25" s="58">
        <v>0</v>
      </c>
      <c r="N25" s="58">
        <v>890694</v>
      </c>
      <c r="O25" s="59">
        <v>98966</v>
      </c>
      <c r="P25" s="50">
        <f t="shared" si="16"/>
        <v>18763498</v>
      </c>
      <c r="Q25" s="60">
        <v>0</v>
      </c>
      <c r="R25" s="31"/>
    </row>
    <row r="26" spans="1:18" ht="15" customHeight="1" x14ac:dyDescent="0.2">
      <c r="A26" s="19" t="s">
        <v>92</v>
      </c>
      <c r="B26" s="26" t="s">
        <v>183</v>
      </c>
      <c r="C26" s="21" t="s">
        <v>69</v>
      </c>
      <c r="D26" s="103"/>
      <c r="E26" s="50">
        <f t="shared" si="13"/>
        <v>17649824</v>
      </c>
      <c r="F26" s="57">
        <v>0</v>
      </c>
      <c r="G26" s="89">
        <v>17649824</v>
      </c>
      <c r="H26" s="58">
        <v>0</v>
      </c>
      <c r="I26" s="59">
        <v>0</v>
      </c>
      <c r="J26" s="50">
        <f t="shared" si="14"/>
        <v>2928939</v>
      </c>
      <c r="K26" s="50">
        <f t="shared" si="15"/>
        <v>2836045</v>
      </c>
      <c r="L26" s="57">
        <v>2000000</v>
      </c>
      <c r="M26" s="58">
        <v>0</v>
      </c>
      <c r="N26" s="58">
        <v>836045</v>
      </c>
      <c r="O26" s="59">
        <v>92894</v>
      </c>
      <c r="P26" s="50">
        <f t="shared" si="16"/>
        <v>20578763</v>
      </c>
      <c r="Q26" s="60">
        <v>0</v>
      </c>
      <c r="R26" s="31"/>
    </row>
    <row r="27" spans="1:18" ht="15" customHeight="1" x14ac:dyDescent="0.2">
      <c r="A27" s="19" t="s">
        <v>93</v>
      </c>
      <c r="B27" s="26" t="s">
        <v>184</v>
      </c>
      <c r="C27" s="21" t="s">
        <v>70</v>
      </c>
      <c r="D27" s="103"/>
      <c r="E27" s="50">
        <f t="shared" si="13"/>
        <v>18127709</v>
      </c>
      <c r="F27" s="57">
        <v>0</v>
      </c>
      <c r="G27" s="89">
        <f>29755075-11627366</f>
        <v>18127709</v>
      </c>
      <c r="H27" s="58">
        <v>0</v>
      </c>
      <c r="I27" s="59">
        <v>0</v>
      </c>
      <c r="J27" s="50">
        <f t="shared" si="14"/>
        <v>954090</v>
      </c>
      <c r="K27" s="50">
        <f t="shared" si="15"/>
        <v>858681</v>
      </c>
      <c r="L27" s="57">
        <v>0</v>
      </c>
      <c r="M27" s="58">
        <v>0</v>
      </c>
      <c r="N27" s="58">
        <v>858681</v>
      </c>
      <c r="O27" s="59">
        <v>95409</v>
      </c>
      <c r="P27" s="50">
        <f t="shared" si="16"/>
        <v>19081799</v>
      </c>
      <c r="Q27" s="60">
        <v>0</v>
      </c>
      <c r="R27" s="31"/>
    </row>
    <row r="28" spans="1:18" ht="15" customHeight="1" x14ac:dyDescent="0.2">
      <c r="A28" s="19" t="s">
        <v>94</v>
      </c>
      <c r="B28" s="26" t="s">
        <v>184</v>
      </c>
      <c r="C28" s="21" t="s">
        <v>71</v>
      </c>
      <c r="D28" s="103"/>
      <c r="E28" s="50">
        <f t="shared" si="13"/>
        <v>19402551</v>
      </c>
      <c r="F28" s="57">
        <v>0</v>
      </c>
      <c r="G28" s="89">
        <v>19402551</v>
      </c>
      <c r="H28" s="58">
        <v>0</v>
      </c>
      <c r="I28" s="59">
        <v>0</v>
      </c>
      <c r="J28" s="50">
        <f t="shared" si="14"/>
        <v>1021187</v>
      </c>
      <c r="K28" s="50">
        <f t="shared" si="15"/>
        <v>919068</v>
      </c>
      <c r="L28" s="57">
        <v>0</v>
      </c>
      <c r="M28" s="58">
        <v>0</v>
      </c>
      <c r="N28" s="58">
        <v>919068</v>
      </c>
      <c r="O28" s="59">
        <v>102119</v>
      </c>
      <c r="P28" s="50">
        <f t="shared" si="16"/>
        <v>20423738</v>
      </c>
      <c r="Q28" s="60">
        <v>0</v>
      </c>
      <c r="R28" s="31"/>
    </row>
    <row r="29" spans="1:18" ht="15" customHeight="1" x14ac:dyDescent="0.2">
      <c r="A29" s="19" t="s">
        <v>95</v>
      </c>
      <c r="B29" s="26" t="s">
        <v>192</v>
      </c>
      <c r="C29" s="21" t="s">
        <v>72</v>
      </c>
      <c r="D29" s="103"/>
      <c r="E29" s="50">
        <f t="shared" si="13"/>
        <v>3662000</v>
      </c>
      <c r="F29" s="57">
        <v>0</v>
      </c>
      <c r="G29" s="89">
        <f>7944100-4282100</f>
        <v>3662000</v>
      </c>
      <c r="H29" s="58">
        <v>0</v>
      </c>
      <c r="I29" s="59">
        <v>0</v>
      </c>
      <c r="J29" s="50">
        <f t="shared" si="14"/>
        <v>792737</v>
      </c>
      <c r="K29" s="50">
        <f t="shared" si="15"/>
        <v>773463</v>
      </c>
      <c r="L29" s="57">
        <v>600000</v>
      </c>
      <c r="M29" s="58">
        <v>0</v>
      </c>
      <c r="N29" s="58">
        <v>173463</v>
      </c>
      <c r="O29" s="59">
        <v>19274</v>
      </c>
      <c r="P29" s="50">
        <f t="shared" si="16"/>
        <v>4454737</v>
      </c>
      <c r="Q29" s="60">
        <v>0</v>
      </c>
      <c r="R29" s="31"/>
    </row>
    <row r="30" spans="1:18" ht="15" customHeight="1" x14ac:dyDescent="0.2">
      <c r="A30" s="19" t="s">
        <v>96</v>
      </c>
      <c r="B30" s="26" t="s">
        <v>192</v>
      </c>
      <c r="C30" s="21" t="s">
        <v>73</v>
      </c>
      <c r="D30" s="103"/>
      <c r="E30" s="50">
        <f t="shared" si="13"/>
        <v>4218901</v>
      </c>
      <c r="F30" s="57">
        <v>0</v>
      </c>
      <c r="G30" s="89">
        <f>4675175-456274</f>
        <v>4218901</v>
      </c>
      <c r="H30" s="58">
        <v>0</v>
      </c>
      <c r="I30" s="59">
        <v>0</v>
      </c>
      <c r="J30" s="50">
        <f t="shared" si="14"/>
        <v>222048</v>
      </c>
      <c r="K30" s="50">
        <f t="shared" si="15"/>
        <v>199843</v>
      </c>
      <c r="L30" s="57">
        <v>0</v>
      </c>
      <c r="M30" s="58">
        <v>0</v>
      </c>
      <c r="N30" s="58">
        <v>199843</v>
      </c>
      <c r="O30" s="59">
        <v>22205</v>
      </c>
      <c r="P30" s="50">
        <f t="shared" si="16"/>
        <v>4440949</v>
      </c>
      <c r="Q30" s="60">
        <v>0</v>
      </c>
      <c r="R30" s="107"/>
    </row>
    <row r="31" spans="1:18" ht="15" customHeight="1" x14ac:dyDescent="0.2">
      <c r="A31" s="19" t="s">
        <v>97</v>
      </c>
      <c r="B31" s="26" t="s">
        <v>192</v>
      </c>
      <c r="C31" s="21" t="s">
        <v>74</v>
      </c>
      <c r="D31" s="103"/>
      <c r="E31" s="50">
        <f t="shared" si="13"/>
        <v>5000000</v>
      </c>
      <c r="F31" s="57">
        <v>0</v>
      </c>
      <c r="G31" s="58">
        <v>5000000</v>
      </c>
      <c r="H31" s="58">
        <v>0</v>
      </c>
      <c r="I31" s="59">
        <v>0</v>
      </c>
      <c r="J31" s="50">
        <f t="shared" si="14"/>
        <v>263158</v>
      </c>
      <c r="K31" s="50">
        <f t="shared" si="15"/>
        <v>236842</v>
      </c>
      <c r="L31" s="57">
        <v>0</v>
      </c>
      <c r="M31" s="58">
        <v>0</v>
      </c>
      <c r="N31" s="58">
        <v>236842</v>
      </c>
      <c r="O31" s="59">
        <v>26316</v>
      </c>
      <c r="P31" s="50">
        <f t="shared" si="16"/>
        <v>5263158</v>
      </c>
      <c r="Q31" s="60">
        <v>0</v>
      </c>
      <c r="R31" s="107"/>
    </row>
    <row r="32" spans="1:18" ht="15" customHeight="1" x14ac:dyDescent="0.2">
      <c r="A32" s="9" t="s">
        <v>35</v>
      </c>
      <c r="B32" s="28"/>
      <c r="C32" s="11" t="s">
        <v>287</v>
      </c>
      <c r="D32" s="103"/>
      <c r="E32" s="56">
        <f>SUM(E33:E35)</f>
        <v>144092501</v>
      </c>
      <c r="F32" s="52">
        <f t="shared" ref="F32:Q32" si="17">SUM(F33:F35)</f>
        <v>0</v>
      </c>
      <c r="G32" s="106">
        <f t="shared" si="17"/>
        <v>144092501</v>
      </c>
      <c r="H32" s="53">
        <f t="shared" si="17"/>
        <v>0</v>
      </c>
      <c r="I32" s="54">
        <f t="shared" si="17"/>
        <v>0</v>
      </c>
      <c r="J32" s="51">
        <f t="shared" si="17"/>
        <v>7583816</v>
      </c>
      <c r="K32" s="51">
        <f t="shared" si="17"/>
        <v>7583816</v>
      </c>
      <c r="L32" s="52">
        <f t="shared" si="17"/>
        <v>0</v>
      </c>
      <c r="M32" s="53">
        <f t="shared" si="17"/>
        <v>0</v>
      </c>
      <c r="N32" s="53">
        <f t="shared" si="17"/>
        <v>7583816</v>
      </c>
      <c r="O32" s="54">
        <f t="shared" si="17"/>
        <v>0</v>
      </c>
      <c r="P32" s="51">
        <f t="shared" si="17"/>
        <v>151676317</v>
      </c>
      <c r="Q32" s="55">
        <f t="shared" si="17"/>
        <v>0</v>
      </c>
      <c r="R32" s="31"/>
    </row>
    <row r="33" spans="1:18" ht="15" customHeight="1" x14ac:dyDescent="0.2">
      <c r="A33" s="16" t="s">
        <v>48</v>
      </c>
      <c r="B33" s="17" t="s">
        <v>177</v>
      </c>
      <c r="C33" s="18" t="s">
        <v>45</v>
      </c>
      <c r="D33" s="103"/>
      <c r="E33" s="50">
        <f>F33+G33+H33+I33</f>
        <v>8485112</v>
      </c>
      <c r="F33" s="57">
        <v>0</v>
      </c>
      <c r="G33" s="89">
        <f>12004348-1913219-1606017</f>
        <v>8485112</v>
      </c>
      <c r="H33" s="58">
        <v>0</v>
      </c>
      <c r="I33" s="59">
        <v>0</v>
      </c>
      <c r="J33" s="50">
        <f>K33+O33</f>
        <v>446585</v>
      </c>
      <c r="K33" s="50">
        <f>L33+M33+N33</f>
        <v>446585</v>
      </c>
      <c r="L33" s="57">
        <v>0</v>
      </c>
      <c r="M33" s="58">
        <v>0</v>
      </c>
      <c r="N33" s="58">
        <v>446585</v>
      </c>
      <c r="O33" s="59">
        <v>0</v>
      </c>
      <c r="P33" s="50">
        <f>E33+J33</f>
        <v>8931697</v>
      </c>
      <c r="Q33" s="60">
        <v>0</v>
      </c>
      <c r="R33" s="31"/>
    </row>
    <row r="34" spans="1:18" ht="15" customHeight="1" x14ac:dyDescent="0.2">
      <c r="A34" s="16" t="s">
        <v>49</v>
      </c>
      <c r="B34" s="17" t="s">
        <v>177</v>
      </c>
      <c r="C34" s="20" t="s">
        <v>46</v>
      </c>
      <c r="D34" s="103"/>
      <c r="E34" s="50">
        <f t="shared" ref="E34:E35" si="18">F34+G34+H34+I34</f>
        <v>63308456</v>
      </c>
      <c r="F34" s="57">
        <v>0</v>
      </c>
      <c r="G34" s="89">
        <v>63308456</v>
      </c>
      <c r="H34" s="58">
        <v>0</v>
      </c>
      <c r="I34" s="59">
        <v>0</v>
      </c>
      <c r="J34" s="50">
        <f t="shared" ref="J34:J38" si="19">K34+O34</f>
        <v>3332024</v>
      </c>
      <c r="K34" s="50">
        <f t="shared" ref="K34:K38" si="20">L34+M34+N34</f>
        <v>3332024</v>
      </c>
      <c r="L34" s="57">
        <v>0</v>
      </c>
      <c r="M34" s="58">
        <v>0</v>
      </c>
      <c r="N34" s="58">
        <v>3332024</v>
      </c>
      <c r="O34" s="59">
        <v>0</v>
      </c>
      <c r="P34" s="50">
        <f t="shared" ref="P34:P37" si="21">E34+J34</f>
        <v>66640480</v>
      </c>
      <c r="Q34" s="60">
        <v>0</v>
      </c>
      <c r="R34" s="107"/>
    </row>
    <row r="35" spans="1:18" ht="15" customHeight="1" x14ac:dyDescent="0.2">
      <c r="A35" s="16" t="s">
        <v>50</v>
      </c>
      <c r="B35" s="17" t="s">
        <v>177</v>
      </c>
      <c r="C35" s="20" t="s">
        <v>47</v>
      </c>
      <c r="D35" s="103"/>
      <c r="E35" s="50">
        <f t="shared" si="18"/>
        <v>72298933</v>
      </c>
      <c r="F35" s="57">
        <v>0</v>
      </c>
      <c r="G35" s="89">
        <f>73099223-800290</f>
        <v>72298933</v>
      </c>
      <c r="H35" s="58">
        <v>0</v>
      </c>
      <c r="I35" s="59">
        <v>0</v>
      </c>
      <c r="J35" s="50">
        <f t="shared" si="19"/>
        <v>3805207</v>
      </c>
      <c r="K35" s="50">
        <f t="shared" si="20"/>
        <v>3805207</v>
      </c>
      <c r="L35" s="57">
        <v>0</v>
      </c>
      <c r="M35" s="58">
        <v>0</v>
      </c>
      <c r="N35" s="58">
        <v>3805207</v>
      </c>
      <c r="O35" s="59">
        <v>0</v>
      </c>
      <c r="P35" s="50">
        <f t="shared" si="21"/>
        <v>76104140</v>
      </c>
      <c r="Q35" s="60">
        <v>0</v>
      </c>
      <c r="R35" s="107"/>
    </row>
    <row r="36" spans="1:18" ht="15" customHeight="1" x14ac:dyDescent="0.2">
      <c r="A36" s="12" t="s">
        <v>36</v>
      </c>
      <c r="B36" s="27"/>
      <c r="C36" s="11" t="s">
        <v>286</v>
      </c>
      <c r="D36" s="103"/>
      <c r="E36" s="51">
        <f>SUM(E37:E38)</f>
        <v>203994432</v>
      </c>
      <c r="F36" s="52">
        <f t="shared" ref="F36:Q36" si="22">SUM(F37:F38)</f>
        <v>0</v>
      </c>
      <c r="G36" s="106">
        <f t="shared" si="22"/>
        <v>203994432</v>
      </c>
      <c r="H36" s="53">
        <f t="shared" si="22"/>
        <v>0</v>
      </c>
      <c r="I36" s="54">
        <f t="shared" si="22"/>
        <v>0</v>
      </c>
      <c r="J36" s="51">
        <f t="shared" si="22"/>
        <v>24287993</v>
      </c>
      <c r="K36" s="51">
        <f t="shared" si="22"/>
        <v>24287993</v>
      </c>
      <c r="L36" s="52">
        <f t="shared" si="22"/>
        <v>13551443</v>
      </c>
      <c r="M36" s="53">
        <f t="shared" si="22"/>
        <v>0</v>
      </c>
      <c r="N36" s="53">
        <f t="shared" si="22"/>
        <v>10736550</v>
      </c>
      <c r="O36" s="54">
        <f t="shared" si="22"/>
        <v>0</v>
      </c>
      <c r="P36" s="51">
        <f t="shared" si="22"/>
        <v>228282425</v>
      </c>
      <c r="Q36" s="55">
        <f t="shared" si="22"/>
        <v>0</v>
      </c>
      <c r="R36" s="105"/>
    </row>
    <row r="37" spans="1:18" ht="15" customHeight="1" x14ac:dyDescent="0.2">
      <c r="A37" s="16" t="s">
        <v>51</v>
      </c>
      <c r="B37" s="17" t="s">
        <v>178</v>
      </c>
      <c r="C37" s="18" t="s">
        <v>43</v>
      </c>
      <c r="D37" s="103"/>
      <c r="E37" s="50">
        <f>F37+G37+H37+I37</f>
        <v>85383547</v>
      </c>
      <c r="F37" s="57">
        <v>0</v>
      </c>
      <c r="G37" s="58">
        <f>132110883-46727336</f>
        <v>85383547</v>
      </c>
      <c r="H37" s="58">
        <v>0</v>
      </c>
      <c r="I37" s="59">
        <v>0</v>
      </c>
      <c r="J37" s="50">
        <f t="shared" si="19"/>
        <v>4493871</v>
      </c>
      <c r="K37" s="50">
        <f t="shared" si="20"/>
        <v>4493871</v>
      </c>
      <c r="L37" s="57">
        <v>0</v>
      </c>
      <c r="M37" s="58">
        <v>0</v>
      </c>
      <c r="N37" s="58">
        <v>4493871</v>
      </c>
      <c r="O37" s="59">
        <v>0</v>
      </c>
      <c r="P37" s="50">
        <f t="shared" si="21"/>
        <v>89877418</v>
      </c>
      <c r="Q37" s="60">
        <v>0</v>
      </c>
      <c r="R37" s="31"/>
    </row>
    <row r="38" spans="1:18" ht="15" customHeight="1" x14ac:dyDescent="0.2">
      <c r="A38" s="16" t="s">
        <v>52</v>
      </c>
      <c r="B38" s="17" t="s">
        <v>178</v>
      </c>
      <c r="C38" s="18" t="s">
        <v>44</v>
      </c>
      <c r="D38" s="103"/>
      <c r="E38" s="50">
        <f>F38+G38+H38+I38</f>
        <v>118610885</v>
      </c>
      <c r="F38" s="57">
        <v>0</v>
      </c>
      <c r="G38" s="58">
        <v>118610885</v>
      </c>
      <c r="H38" s="58">
        <v>0</v>
      </c>
      <c r="I38" s="59">
        <v>0</v>
      </c>
      <c r="J38" s="50">
        <f t="shared" si="19"/>
        <v>19794122</v>
      </c>
      <c r="K38" s="50">
        <f t="shared" si="20"/>
        <v>19794122</v>
      </c>
      <c r="L38" s="119">
        <v>13551443</v>
      </c>
      <c r="M38" s="58">
        <v>0</v>
      </c>
      <c r="N38" s="58">
        <v>6242679</v>
      </c>
      <c r="O38" s="59">
        <v>0</v>
      </c>
      <c r="P38" s="50">
        <f>E38+J38</f>
        <v>138405007</v>
      </c>
      <c r="Q38" s="60">
        <v>0</v>
      </c>
      <c r="R38" s="31"/>
    </row>
    <row r="39" spans="1:18" ht="15" customHeight="1" x14ac:dyDescent="0.2">
      <c r="A39" s="9" t="s">
        <v>37</v>
      </c>
      <c r="B39" s="29"/>
      <c r="C39" s="13" t="s">
        <v>119</v>
      </c>
      <c r="D39" s="103"/>
      <c r="E39" s="120">
        <f>E40+E41+E42+E43+E44+E45+E46+E47+E48+E49+E50+E51+E52+E53+E54+E55+E56+E57+E58+E59+E60</f>
        <v>427487153</v>
      </c>
      <c r="F39" s="121">
        <f t="shared" ref="F39:Q39" si="23">F40+F41+F42+F43+F44+F45+F46+F47+F48+F49+F50+F51+F52+F53+F54+F55+F56+F57+F58+F59+F60</f>
        <v>0</v>
      </c>
      <c r="G39" s="106">
        <f t="shared" si="23"/>
        <v>0</v>
      </c>
      <c r="H39" s="106">
        <f>H40+H41+H42+H43+H44+H45+H46+H47+H48+H49+H50+H51+H52+H53+H54+H55+H56+H57+H58+H59+H60</f>
        <v>427487153</v>
      </c>
      <c r="I39" s="54">
        <f t="shared" si="23"/>
        <v>0</v>
      </c>
      <c r="J39" s="51">
        <f t="shared" si="23"/>
        <v>75438909</v>
      </c>
      <c r="K39" s="51">
        <f t="shared" si="23"/>
        <v>68121091</v>
      </c>
      <c r="L39" s="52">
        <f t="shared" si="23"/>
        <v>34661842</v>
      </c>
      <c r="M39" s="53">
        <f t="shared" si="23"/>
        <v>23190954</v>
      </c>
      <c r="N39" s="53">
        <f t="shared" si="23"/>
        <v>10268295</v>
      </c>
      <c r="O39" s="54">
        <f t="shared" si="23"/>
        <v>7317818</v>
      </c>
      <c r="P39" s="51">
        <f t="shared" si="23"/>
        <v>502926062</v>
      </c>
      <c r="Q39" s="55">
        <f t="shared" si="23"/>
        <v>0</v>
      </c>
      <c r="R39" s="31"/>
    </row>
    <row r="40" spans="1:18" ht="15" customHeight="1" x14ac:dyDescent="0.2">
      <c r="A40" s="19" t="s">
        <v>98</v>
      </c>
      <c r="B40" s="24" t="s">
        <v>179</v>
      </c>
      <c r="C40" s="22" t="s">
        <v>120</v>
      </c>
      <c r="D40" s="103"/>
      <c r="E40" s="50">
        <f>F40+G40+H40+I40</f>
        <v>500000</v>
      </c>
      <c r="F40" s="73">
        <v>0</v>
      </c>
      <c r="G40" s="74">
        <v>0</v>
      </c>
      <c r="H40" s="74">
        <v>500000</v>
      </c>
      <c r="I40" s="75">
        <v>0</v>
      </c>
      <c r="J40" s="50">
        <f t="shared" ref="J40:J60" si="24">K40+O40</f>
        <v>88236</v>
      </c>
      <c r="K40" s="50">
        <f t="shared" ref="K40:K60" si="25">L40+M40+N40</f>
        <v>88236</v>
      </c>
      <c r="L40" s="73">
        <v>88236</v>
      </c>
      <c r="M40" s="74">
        <v>0</v>
      </c>
      <c r="N40" s="74">
        <v>0</v>
      </c>
      <c r="O40" s="75">
        <v>0</v>
      </c>
      <c r="P40" s="50">
        <f t="shared" ref="P40:P60" si="26">E40+J40</f>
        <v>588236</v>
      </c>
      <c r="Q40" s="76">
        <v>0</v>
      </c>
      <c r="R40" s="31"/>
    </row>
    <row r="41" spans="1:18" ht="15" customHeight="1" x14ac:dyDescent="0.2">
      <c r="A41" s="19" t="s">
        <v>99</v>
      </c>
      <c r="B41" s="24" t="s">
        <v>179</v>
      </c>
      <c r="C41" s="22" t="s">
        <v>121</v>
      </c>
      <c r="D41" s="103"/>
      <c r="E41" s="50">
        <f t="shared" ref="E41:E60" si="27">F41+G41+H41+I41</f>
        <v>60481438</v>
      </c>
      <c r="F41" s="73">
        <v>0</v>
      </c>
      <c r="G41" s="74">
        <v>0</v>
      </c>
      <c r="H41" s="74">
        <v>60481438</v>
      </c>
      <c r="I41" s="75">
        <v>0</v>
      </c>
      <c r="J41" s="50">
        <f t="shared" si="24"/>
        <v>10673194</v>
      </c>
      <c r="K41" s="50">
        <f t="shared" si="25"/>
        <v>9605875</v>
      </c>
      <c r="L41" s="73">
        <v>0</v>
      </c>
      <c r="M41" s="74">
        <v>0</v>
      </c>
      <c r="N41" s="74">
        <v>9605875</v>
      </c>
      <c r="O41" s="75">
        <v>1067319</v>
      </c>
      <c r="P41" s="50">
        <f t="shared" si="26"/>
        <v>71154632</v>
      </c>
      <c r="Q41" s="76">
        <v>0</v>
      </c>
      <c r="R41" s="31"/>
    </row>
    <row r="42" spans="1:18" ht="15" customHeight="1" x14ac:dyDescent="0.2">
      <c r="A42" s="19" t="s">
        <v>100</v>
      </c>
      <c r="B42" s="24" t="s">
        <v>195</v>
      </c>
      <c r="C42" s="22" t="s">
        <v>122</v>
      </c>
      <c r="D42" s="103"/>
      <c r="E42" s="50">
        <f t="shared" si="27"/>
        <v>3027511</v>
      </c>
      <c r="F42" s="73">
        <v>0</v>
      </c>
      <c r="G42" s="74">
        <v>0</v>
      </c>
      <c r="H42" s="74">
        <v>3027511</v>
      </c>
      <c r="I42" s="75">
        <v>0</v>
      </c>
      <c r="J42" s="50">
        <f t="shared" si="24"/>
        <v>534267</v>
      </c>
      <c r="K42" s="50">
        <f t="shared" si="25"/>
        <v>480840</v>
      </c>
      <c r="L42" s="73">
        <v>0</v>
      </c>
      <c r="M42" s="74">
        <v>480840</v>
      </c>
      <c r="N42" s="74">
        <v>0</v>
      </c>
      <c r="O42" s="75">
        <v>53427</v>
      </c>
      <c r="P42" s="50">
        <f t="shared" si="26"/>
        <v>3561778</v>
      </c>
      <c r="Q42" s="76">
        <v>0</v>
      </c>
      <c r="R42" s="31"/>
    </row>
    <row r="43" spans="1:18" ht="15" customHeight="1" x14ac:dyDescent="0.2">
      <c r="A43" s="19" t="s">
        <v>101</v>
      </c>
      <c r="B43" s="24" t="s">
        <v>196</v>
      </c>
      <c r="C43" s="22" t="s">
        <v>123</v>
      </c>
      <c r="D43" s="103"/>
      <c r="E43" s="50">
        <f t="shared" si="27"/>
        <v>7500000</v>
      </c>
      <c r="F43" s="73">
        <v>0</v>
      </c>
      <c r="G43" s="74">
        <v>0</v>
      </c>
      <c r="H43" s="74">
        <v>7500000</v>
      </c>
      <c r="I43" s="75">
        <v>0</v>
      </c>
      <c r="J43" s="50">
        <f t="shared" si="24"/>
        <v>1323530</v>
      </c>
      <c r="K43" s="50">
        <f t="shared" si="25"/>
        <v>1191177</v>
      </c>
      <c r="L43" s="73">
        <v>882353</v>
      </c>
      <c r="M43" s="74">
        <v>308824</v>
      </c>
      <c r="N43" s="74">
        <v>0</v>
      </c>
      <c r="O43" s="75">
        <v>132353</v>
      </c>
      <c r="P43" s="50">
        <f t="shared" si="26"/>
        <v>8823530</v>
      </c>
      <c r="Q43" s="76">
        <v>0</v>
      </c>
      <c r="R43" s="31"/>
    </row>
    <row r="44" spans="1:18" ht="15" customHeight="1" x14ac:dyDescent="0.2">
      <c r="A44" s="19" t="s">
        <v>102</v>
      </c>
      <c r="B44" s="24" t="s">
        <v>197</v>
      </c>
      <c r="C44" s="22" t="s">
        <v>124</v>
      </c>
      <c r="D44" s="103"/>
      <c r="E44" s="50">
        <f t="shared" si="27"/>
        <v>8015738</v>
      </c>
      <c r="F44" s="73">
        <v>0</v>
      </c>
      <c r="G44" s="74">
        <v>0</v>
      </c>
      <c r="H44" s="74">
        <v>8015738</v>
      </c>
      <c r="I44" s="75">
        <v>0</v>
      </c>
      <c r="J44" s="50">
        <f t="shared" si="24"/>
        <v>1414542</v>
      </c>
      <c r="K44" s="50">
        <f t="shared" si="25"/>
        <v>1273088</v>
      </c>
      <c r="L44" s="73">
        <v>471514</v>
      </c>
      <c r="M44" s="74">
        <v>801574</v>
      </c>
      <c r="N44" s="74">
        <v>0</v>
      </c>
      <c r="O44" s="75">
        <v>141454</v>
      </c>
      <c r="P44" s="50">
        <f t="shared" si="26"/>
        <v>9430280</v>
      </c>
      <c r="Q44" s="76">
        <v>0</v>
      </c>
      <c r="R44" s="31"/>
    </row>
    <row r="45" spans="1:18" ht="15" customHeight="1" x14ac:dyDescent="0.2">
      <c r="A45" s="19" t="s">
        <v>103</v>
      </c>
      <c r="B45" s="24" t="s">
        <v>197</v>
      </c>
      <c r="C45" s="22" t="s">
        <v>125</v>
      </c>
      <c r="D45" s="103"/>
      <c r="E45" s="50">
        <f t="shared" si="27"/>
        <v>6649328</v>
      </c>
      <c r="F45" s="73">
        <v>0</v>
      </c>
      <c r="G45" s="74">
        <v>0</v>
      </c>
      <c r="H45" s="74">
        <v>6649328</v>
      </c>
      <c r="I45" s="75">
        <v>0</v>
      </c>
      <c r="J45" s="50">
        <f t="shared" si="24"/>
        <v>1173411</v>
      </c>
      <c r="K45" s="50">
        <f t="shared" si="25"/>
        <v>1056070</v>
      </c>
      <c r="L45" s="73">
        <v>0</v>
      </c>
      <c r="M45" s="74">
        <v>1056070</v>
      </c>
      <c r="N45" s="74">
        <v>0</v>
      </c>
      <c r="O45" s="75">
        <v>117341</v>
      </c>
      <c r="P45" s="50">
        <f t="shared" si="26"/>
        <v>7822739</v>
      </c>
      <c r="Q45" s="76">
        <v>0</v>
      </c>
      <c r="R45" s="31"/>
    </row>
    <row r="46" spans="1:18" ht="15" customHeight="1" x14ac:dyDescent="0.2">
      <c r="A46" s="19" t="s">
        <v>104</v>
      </c>
      <c r="B46" s="24" t="s">
        <v>185</v>
      </c>
      <c r="C46" s="22" t="s">
        <v>126</v>
      </c>
      <c r="D46" s="103"/>
      <c r="E46" s="50">
        <f t="shared" si="27"/>
        <v>40446615</v>
      </c>
      <c r="F46" s="73">
        <v>0</v>
      </c>
      <c r="G46" s="74">
        <v>0</v>
      </c>
      <c r="H46" s="74">
        <v>40446615</v>
      </c>
      <c r="I46" s="75">
        <v>0</v>
      </c>
      <c r="J46" s="50">
        <f t="shared" si="24"/>
        <v>7137638</v>
      </c>
      <c r="K46" s="50">
        <f t="shared" si="25"/>
        <v>6423875</v>
      </c>
      <c r="L46" s="73">
        <v>2379213</v>
      </c>
      <c r="M46" s="74">
        <v>4044662</v>
      </c>
      <c r="N46" s="74">
        <v>0</v>
      </c>
      <c r="O46" s="75">
        <v>713763</v>
      </c>
      <c r="P46" s="50">
        <f t="shared" si="26"/>
        <v>47584253</v>
      </c>
      <c r="Q46" s="76">
        <v>0</v>
      </c>
      <c r="R46" s="31"/>
    </row>
    <row r="47" spans="1:18" ht="15" customHeight="1" x14ac:dyDescent="0.2">
      <c r="A47" s="19" t="s">
        <v>105</v>
      </c>
      <c r="B47" s="24" t="s">
        <v>185</v>
      </c>
      <c r="C47" s="22" t="s">
        <v>127</v>
      </c>
      <c r="D47" s="103"/>
      <c r="E47" s="50">
        <f t="shared" si="27"/>
        <v>106638641</v>
      </c>
      <c r="F47" s="73">
        <v>0</v>
      </c>
      <c r="G47" s="74">
        <v>0</v>
      </c>
      <c r="H47" s="74">
        <v>106638641</v>
      </c>
      <c r="I47" s="75">
        <v>0</v>
      </c>
      <c r="J47" s="50">
        <f t="shared" si="24"/>
        <v>18818584</v>
      </c>
      <c r="K47" s="50">
        <f t="shared" si="25"/>
        <v>16932302</v>
      </c>
      <c r="L47" s="73">
        <v>9765027</v>
      </c>
      <c r="M47" s="74">
        <v>7167275</v>
      </c>
      <c r="N47" s="74">
        <v>0</v>
      </c>
      <c r="O47" s="75">
        <v>1886282</v>
      </c>
      <c r="P47" s="50">
        <f t="shared" si="26"/>
        <v>125457225</v>
      </c>
      <c r="Q47" s="76">
        <v>0</v>
      </c>
      <c r="R47" s="31"/>
    </row>
    <row r="48" spans="1:18" ht="15" customHeight="1" x14ac:dyDescent="0.2">
      <c r="A48" s="19" t="s">
        <v>106</v>
      </c>
      <c r="B48" s="24" t="s">
        <v>198</v>
      </c>
      <c r="C48" s="22" t="s">
        <v>128</v>
      </c>
      <c r="D48" s="103"/>
      <c r="E48" s="50">
        <f t="shared" si="27"/>
        <v>39257916</v>
      </c>
      <c r="F48" s="73">
        <v>0</v>
      </c>
      <c r="G48" s="74">
        <v>0</v>
      </c>
      <c r="H48" s="101">
        <v>39257916</v>
      </c>
      <c r="I48" s="75">
        <v>0</v>
      </c>
      <c r="J48" s="50">
        <f t="shared" si="24"/>
        <v>6927868</v>
      </c>
      <c r="K48" s="50">
        <f t="shared" si="25"/>
        <v>6235081</v>
      </c>
      <c r="L48" s="73">
        <v>4618579</v>
      </c>
      <c r="M48" s="101">
        <v>1616502</v>
      </c>
      <c r="N48" s="101">
        <v>0</v>
      </c>
      <c r="O48" s="75">
        <v>692787</v>
      </c>
      <c r="P48" s="50">
        <f t="shared" si="26"/>
        <v>46185784</v>
      </c>
      <c r="Q48" s="76">
        <v>0</v>
      </c>
      <c r="R48" s="31"/>
    </row>
    <row r="49" spans="1:18" ht="15" customHeight="1" x14ac:dyDescent="0.2">
      <c r="A49" s="19" t="s">
        <v>107</v>
      </c>
      <c r="B49" s="24" t="s">
        <v>198</v>
      </c>
      <c r="C49" s="22" t="s">
        <v>129</v>
      </c>
      <c r="D49" s="103"/>
      <c r="E49" s="50">
        <f t="shared" si="27"/>
        <v>12585972</v>
      </c>
      <c r="F49" s="73">
        <v>0</v>
      </c>
      <c r="G49" s="74">
        <v>0</v>
      </c>
      <c r="H49" s="101">
        <v>12585972</v>
      </c>
      <c r="I49" s="75">
        <v>0</v>
      </c>
      <c r="J49" s="50">
        <f t="shared" si="24"/>
        <v>662420</v>
      </c>
      <c r="K49" s="50">
        <f t="shared" si="25"/>
        <v>662420</v>
      </c>
      <c r="L49" s="73">
        <v>0</v>
      </c>
      <c r="M49" s="101">
        <v>0</v>
      </c>
      <c r="N49" s="101">
        <v>662420</v>
      </c>
      <c r="O49" s="75">
        <v>0</v>
      </c>
      <c r="P49" s="50">
        <f t="shared" si="26"/>
        <v>13248392</v>
      </c>
      <c r="Q49" s="76">
        <v>0</v>
      </c>
      <c r="R49" s="31"/>
    </row>
    <row r="50" spans="1:18" ht="15" customHeight="1" x14ac:dyDescent="0.2">
      <c r="A50" s="19" t="s">
        <v>108</v>
      </c>
      <c r="B50" s="24" t="s">
        <v>186</v>
      </c>
      <c r="C50" s="22" t="s">
        <v>130</v>
      </c>
      <c r="D50" s="103"/>
      <c r="E50" s="50">
        <f t="shared" si="27"/>
        <v>19581573</v>
      </c>
      <c r="F50" s="73">
        <v>0</v>
      </c>
      <c r="G50" s="74">
        <v>0</v>
      </c>
      <c r="H50" s="74">
        <v>19581573</v>
      </c>
      <c r="I50" s="75">
        <v>0</v>
      </c>
      <c r="J50" s="50">
        <f t="shared" si="24"/>
        <v>3455572</v>
      </c>
      <c r="K50" s="50">
        <f t="shared" si="25"/>
        <v>3110015</v>
      </c>
      <c r="L50" s="73">
        <v>2303715</v>
      </c>
      <c r="M50" s="74">
        <v>806300</v>
      </c>
      <c r="N50" s="74">
        <v>0</v>
      </c>
      <c r="O50" s="75">
        <v>345557</v>
      </c>
      <c r="P50" s="50">
        <f t="shared" si="26"/>
        <v>23037145</v>
      </c>
      <c r="Q50" s="76">
        <v>0</v>
      </c>
      <c r="R50" s="31"/>
    </row>
    <row r="51" spans="1:18" ht="15" customHeight="1" x14ac:dyDescent="0.2">
      <c r="A51" s="19" t="s">
        <v>109</v>
      </c>
      <c r="B51" s="24" t="s">
        <v>186</v>
      </c>
      <c r="C51" s="22" t="s">
        <v>131</v>
      </c>
      <c r="D51" s="103"/>
      <c r="E51" s="50">
        <f t="shared" si="27"/>
        <v>3000000</v>
      </c>
      <c r="F51" s="73">
        <v>0</v>
      </c>
      <c r="G51" s="74">
        <v>0</v>
      </c>
      <c r="H51" s="74">
        <v>3000000</v>
      </c>
      <c r="I51" s="75">
        <v>0</v>
      </c>
      <c r="J51" s="50">
        <f t="shared" si="24"/>
        <v>529412</v>
      </c>
      <c r="K51" s="50">
        <f t="shared" si="25"/>
        <v>476471</v>
      </c>
      <c r="L51" s="73">
        <v>352941</v>
      </c>
      <c r="M51" s="74">
        <v>123530</v>
      </c>
      <c r="N51" s="74">
        <v>0</v>
      </c>
      <c r="O51" s="75">
        <v>52941</v>
      </c>
      <c r="P51" s="50">
        <f t="shared" si="26"/>
        <v>3529412</v>
      </c>
      <c r="Q51" s="76">
        <v>0</v>
      </c>
      <c r="R51" s="31"/>
    </row>
    <row r="52" spans="1:18" ht="15" customHeight="1" x14ac:dyDescent="0.2">
      <c r="A52" s="19" t="s">
        <v>110</v>
      </c>
      <c r="B52" s="24" t="s">
        <v>186</v>
      </c>
      <c r="C52" s="22" t="s">
        <v>132</v>
      </c>
      <c r="D52" s="103"/>
      <c r="E52" s="50">
        <f t="shared" si="27"/>
        <v>12103667</v>
      </c>
      <c r="F52" s="73">
        <v>0</v>
      </c>
      <c r="G52" s="74">
        <v>0</v>
      </c>
      <c r="H52" s="74">
        <v>12103667</v>
      </c>
      <c r="I52" s="75">
        <v>0</v>
      </c>
      <c r="J52" s="50">
        <f t="shared" si="24"/>
        <v>2135942</v>
      </c>
      <c r="K52" s="50">
        <f t="shared" si="25"/>
        <v>1922565</v>
      </c>
      <c r="L52" s="73">
        <v>1835703</v>
      </c>
      <c r="M52" s="74">
        <v>86862</v>
      </c>
      <c r="N52" s="74">
        <v>0</v>
      </c>
      <c r="O52" s="75">
        <v>213377</v>
      </c>
      <c r="P52" s="50">
        <f t="shared" si="26"/>
        <v>14239609</v>
      </c>
      <c r="Q52" s="76">
        <v>0</v>
      </c>
      <c r="R52" s="31"/>
    </row>
    <row r="53" spans="1:18" ht="15" customHeight="1" x14ac:dyDescent="0.2">
      <c r="A53" s="19" t="s">
        <v>111</v>
      </c>
      <c r="B53" s="24" t="s">
        <v>199</v>
      </c>
      <c r="C53" s="22" t="s">
        <v>295</v>
      </c>
      <c r="D53" s="103"/>
      <c r="E53" s="50">
        <f t="shared" si="27"/>
        <v>0</v>
      </c>
      <c r="F53" s="73">
        <v>0</v>
      </c>
      <c r="G53" s="74">
        <v>0</v>
      </c>
      <c r="H53" s="74">
        <v>0</v>
      </c>
      <c r="I53" s="75">
        <v>0</v>
      </c>
      <c r="J53" s="50">
        <f t="shared" si="24"/>
        <v>0</v>
      </c>
      <c r="K53" s="50">
        <f t="shared" si="25"/>
        <v>0</v>
      </c>
      <c r="L53" s="73">
        <v>0</v>
      </c>
      <c r="M53" s="74">
        <v>0</v>
      </c>
      <c r="N53" s="74">
        <v>0</v>
      </c>
      <c r="O53" s="75">
        <v>0</v>
      </c>
      <c r="P53" s="50">
        <f t="shared" si="26"/>
        <v>0</v>
      </c>
      <c r="Q53" s="76">
        <v>0</v>
      </c>
      <c r="R53" s="31"/>
    </row>
    <row r="54" spans="1:18" ht="15" customHeight="1" x14ac:dyDescent="0.2">
      <c r="A54" s="19" t="s">
        <v>112</v>
      </c>
      <c r="B54" s="24" t="s">
        <v>199</v>
      </c>
      <c r="C54" s="22" t="s">
        <v>133</v>
      </c>
      <c r="D54" s="103"/>
      <c r="E54" s="50">
        <f t="shared" si="27"/>
        <v>5006056.0000000009</v>
      </c>
      <c r="F54" s="73">
        <v>0</v>
      </c>
      <c r="G54" s="74">
        <v>0</v>
      </c>
      <c r="H54" s="74">
        <v>5006056.0000000009</v>
      </c>
      <c r="I54" s="75">
        <v>0</v>
      </c>
      <c r="J54" s="50">
        <f t="shared" si="24"/>
        <v>883422</v>
      </c>
      <c r="K54" s="50">
        <f t="shared" si="25"/>
        <v>795080</v>
      </c>
      <c r="L54" s="73">
        <v>588948</v>
      </c>
      <c r="M54" s="74">
        <v>206132</v>
      </c>
      <c r="N54" s="74">
        <v>0</v>
      </c>
      <c r="O54" s="75">
        <v>88342</v>
      </c>
      <c r="P54" s="50">
        <f t="shared" si="26"/>
        <v>5889478.0000000009</v>
      </c>
      <c r="Q54" s="76">
        <v>0</v>
      </c>
      <c r="R54" s="31"/>
    </row>
    <row r="55" spans="1:18" ht="15" customHeight="1" x14ac:dyDescent="0.2">
      <c r="A55" s="19" t="s">
        <v>113</v>
      </c>
      <c r="B55" s="24" t="s">
        <v>199</v>
      </c>
      <c r="C55" s="22" t="s">
        <v>134</v>
      </c>
      <c r="D55" s="103"/>
      <c r="E55" s="50">
        <f t="shared" si="27"/>
        <v>6118512</v>
      </c>
      <c r="F55" s="73">
        <v>0</v>
      </c>
      <c r="G55" s="74">
        <v>0</v>
      </c>
      <c r="H55" s="74">
        <v>6118512</v>
      </c>
      <c r="I55" s="75">
        <v>0</v>
      </c>
      <c r="J55" s="50">
        <f t="shared" si="24"/>
        <v>1079738</v>
      </c>
      <c r="K55" s="50">
        <f t="shared" si="25"/>
        <v>971764</v>
      </c>
      <c r="L55" s="73">
        <v>719825</v>
      </c>
      <c r="M55" s="74">
        <v>251939</v>
      </c>
      <c r="N55" s="74">
        <v>0</v>
      </c>
      <c r="O55" s="75">
        <v>107974</v>
      </c>
      <c r="P55" s="50">
        <f t="shared" si="26"/>
        <v>7198250</v>
      </c>
      <c r="Q55" s="76">
        <v>0</v>
      </c>
      <c r="R55" s="31"/>
    </row>
    <row r="56" spans="1:18" ht="15" customHeight="1" x14ac:dyDescent="0.2">
      <c r="A56" s="19" t="s">
        <v>114</v>
      </c>
      <c r="B56" s="24" t="s">
        <v>200</v>
      </c>
      <c r="C56" s="22" t="s">
        <v>135</v>
      </c>
      <c r="D56" s="103"/>
      <c r="E56" s="50">
        <f t="shared" si="27"/>
        <v>54495276</v>
      </c>
      <c r="F56" s="73">
        <v>0</v>
      </c>
      <c r="G56" s="74">
        <v>0</v>
      </c>
      <c r="H56" s="74">
        <v>54495276</v>
      </c>
      <c r="I56" s="75">
        <v>0</v>
      </c>
      <c r="J56" s="50">
        <f t="shared" si="24"/>
        <v>9616814</v>
      </c>
      <c r="K56" s="50">
        <f t="shared" si="25"/>
        <v>8654483</v>
      </c>
      <c r="L56" s="73">
        <v>5705327</v>
      </c>
      <c r="M56" s="74">
        <v>2949156</v>
      </c>
      <c r="N56" s="74">
        <v>0</v>
      </c>
      <c r="O56" s="75">
        <v>962331</v>
      </c>
      <c r="P56" s="50">
        <f t="shared" si="26"/>
        <v>64112090</v>
      </c>
      <c r="Q56" s="76">
        <v>0</v>
      </c>
      <c r="R56" s="31"/>
    </row>
    <row r="57" spans="1:18" ht="15" customHeight="1" x14ac:dyDescent="0.2">
      <c r="A57" s="19" t="s">
        <v>115</v>
      </c>
      <c r="B57" s="24" t="s">
        <v>200</v>
      </c>
      <c r="C57" s="22" t="s">
        <v>136</v>
      </c>
      <c r="D57" s="103"/>
      <c r="E57" s="50">
        <f t="shared" si="27"/>
        <v>12000000</v>
      </c>
      <c r="F57" s="73">
        <v>0</v>
      </c>
      <c r="G57" s="74">
        <v>0</v>
      </c>
      <c r="H57" s="74">
        <v>12000000</v>
      </c>
      <c r="I57" s="75">
        <v>0</v>
      </c>
      <c r="J57" s="50">
        <f t="shared" si="24"/>
        <v>2117647</v>
      </c>
      <c r="K57" s="50">
        <f t="shared" si="25"/>
        <v>1905882</v>
      </c>
      <c r="L57" s="73">
        <v>1411765</v>
      </c>
      <c r="M57" s="74">
        <v>494117</v>
      </c>
      <c r="N57" s="74">
        <v>0</v>
      </c>
      <c r="O57" s="75">
        <v>211765</v>
      </c>
      <c r="P57" s="50">
        <f t="shared" si="26"/>
        <v>14117647</v>
      </c>
      <c r="Q57" s="76">
        <v>0</v>
      </c>
      <c r="R57" s="31"/>
    </row>
    <row r="58" spans="1:18" ht="15" customHeight="1" x14ac:dyDescent="0.2">
      <c r="A58" s="19" t="s">
        <v>116</v>
      </c>
      <c r="B58" s="24" t="s">
        <v>200</v>
      </c>
      <c r="C58" s="22" t="s">
        <v>137</v>
      </c>
      <c r="D58" s="103"/>
      <c r="E58" s="50">
        <f t="shared" si="27"/>
        <v>15000000</v>
      </c>
      <c r="F58" s="73">
        <v>0</v>
      </c>
      <c r="G58" s="74">
        <v>0</v>
      </c>
      <c r="H58" s="74">
        <v>15000000</v>
      </c>
      <c r="I58" s="75">
        <v>0</v>
      </c>
      <c r="J58" s="50">
        <f t="shared" si="24"/>
        <v>2647059</v>
      </c>
      <c r="K58" s="50">
        <f t="shared" si="25"/>
        <v>2382353</v>
      </c>
      <c r="L58" s="73">
        <v>1764706</v>
      </c>
      <c r="M58" s="74">
        <v>617647</v>
      </c>
      <c r="N58" s="74">
        <v>0</v>
      </c>
      <c r="O58" s="75">
        <v>264706</v>
      </c>
      <c r="P58" s="50">
        <f t="shared" si="26"/>
        <v>17647059</v>
      </c>
      <c r="Q58" s="76">
        <v>0</v>
      </c>
      <c r="R58" s="31"/>
    </row>
    <row r="59" spans="1:18" ht="15" customHeight="1" x14ac:dyDescent="0.2">
      <c r="A59" s="19" t="s">
        <v>117</v>
      </c>
      <c r="B59" s="24" t="s">
        <v>200</v>
      </c>
      <c r="C59" s="22" t="s">
        <v>138</v>
      </c>
      <c r="D59" s="103"/>
      <c r="E59" s="50">
        <f t="shared" si="27"/>
        <v>10000000</v>
      </c>
      <c r="F59" s="73">
        <v>0</v>
      </c>
      <c r="G59" s="74">
        <v>0</v>
      </c>
      <c r="H59" s="74">
        <v>10000000</v>
      </c>
      <c r="I59" s="75">
        <v>0</v>
      </c>
      <c r="J59" s="50">
        <f t="shared" si="24"/>
        <v>1764706</v>
      </c>
      <c r="K59" s="50">
        <f t="shared" si="25"/>
        <v>1588235</v>
      </c>
      <c r="L59" s="73">
        <v>1176471</v>
      </c>
      <c r="M59" s="74">
        <v>411764</v>
      </c>
      <c r="N59" s="74">
        <v>0</v>
      </c>
      <c r="O59" s="75">
        <v>176471</v>
      </c>
      <c r="P59" s="50">
        <f t="shared" si="26"/>
        <v>11764706</v>
      </c>
      <c r="Q59" s="76">
        <v>0</v>
      </c>
      <c r="R59" s="31"/>
    </row>
    <row r="60" spans="1:18" ht="15" customHeight="1" x14ac:dyDescent="0.2">
      <c r="A60" s="19" t="s">
        <v>118</v>
      </c>
      <c r="B60" s="24" t="s">
        <v>201</v>
      </c>
      <c r="C60" s="22" t="s">
        <v>139</v>
      </c>
      <c r="D60" s="103"/>
      <c r="E60" s="50">
        <f t="shared" si="27"/>
        <v>5078910</v>
      </c>
      <c r="F60" s="73">
        <v>0</v>
      </c>
      <c r="G60" s="74">
        <v>0</v>
      </c>
      <c r="H60" s="74">
        <v>5078910</v>
      </c>
      <c r="I60" s="75">
        <v>0</v>
      </c>
      <c r="J60" s="50">
        <f t="shared" si="24"/>
        <v>2454907</v>
      </c>
      <c r="K60" s="50">
        <f t="shared" si="25"/>
        <v>2365279</v>
      </c>
      <c r="L60" s="73">
        <v>597519</v>
      </c>
      <c r="M60" s="101">
        <v>1767760</v>
      </c>
      <c r="N60" s="74">
        <v>0</v>
      </c>
      <c r="O60" s="75">
        <v>89628</v>
      </c>
      <c r="P60" s="50">
        <f t="shared" si="26"/>
        <v>7533817</v>
      </c>
      <c r="Q60" s="76">
        <v>0</v>
      </c>
      <c r="R60" s="31"/>
    </row>
    <row r="61" spans="1:18" ht="15" customHeight="1" x14ac:dyDescent="0.2">
      <c r="A61" s="9" t="s">
        <v>38</v>
      </c>
      <c r="B61" s="27"/>
      <c r="C61" s="10" t="s">
        <v>140</v>
      </c>
      <c r="D61" s="103"/>
      <c r="E61" s="51">
        <f t="shared" ref="E61:O61" si="28">SUM(E62:E73)</f>
        <v>220535693</v>
      </c>
      <c r="F61" s="99">
        <f t="shared" si="28"/>
        <v>0</v>
      </c>
      <c r="G61" s="106">
        <f t="shared" si="28"/>
        <v>220535693</v>
      </c>
      <c r="H61" s="53">
        <f t="shared" si="28"/>
        <v>0</v>
      </c>
      <c r="I61" s="55">
        <f t="shared" si="28"/>
        <v>0</v>
      </c>
      <c r="J61" s="51">
        <f t="shared" si="28"/>
        <v>21057142</v>
      </c>
      <c r="K61" s="51">
        <f t="shared" si="28"/>
        <v>20476784</v>
      </c>
      <c r="L61" s="99">
        <f t="shared" si="28"/>
        <v>9450000</v>
      </c>
      <c r="M61" s="53">
        <f t="shared" si="28"/>
        <v>0</v>
      </c>
      <c r="N61" s="53">
        <f t="shared" si="28"/>
        <v>11026784</v>
      </c>
      <c r="O61" s="55">
        <f t="shared" si="28"/>
        <v>580358</v>
      </c>
      <c r="P61" s="51">
        <f>SUM(P62:P73)</f>
        <v>241592835</v>
      </c>
      <c r="Q61" s="51">
        <f>SUM(Q62:Q73)</f>
        <v>0</v>
      </c>
      <c r="R61" s="31"/>
    </row>
    <row r="62" spans="1:18" ht="15" customHeight="1" x14ac:dyDescent="0.2">
      <c r="A62" s="19" t="s">
        <v>153</v>
      </c>
      <c r="B62" s="23" t="s">
        <v>187</v>
      </c>
      <c r="C62" s="20" t="s">
        <v>141</v>
      </c>
      <c r="D62" s="103"/>
      <c r="E62" s="50">
        <f t="shared" ref="E62:E73" si="29">F62+G62+H62+I62</f>
        <v>9614028</v>
      </c>
      <c r="F62" s="57">
        <v>0</v>
      </c>
      <c r="G62" s="58">
        <v>9614028</v>
      </c>
      <c r="H62" s="58">
        <v>0</v>
      </c>
      <c r="I62" s="59">
        <v>0</v>
      </c>
      <c r="J62" s="50">
        <f t="shared" ref="J62:J73" si="30">K62+O62</f>
        <v>506001</v>
      </c>
      <c r="K62" s="50">
        <f t="shared" ref="K62:K73" si="31">L62+M62+N62</f>
        <v>480701</v>
      </c>
      <c r="L62" s="57">
        <v>0</v>
      </c>
      <c r="M62" s="58">
        <v>0</v>
      </c>
      <c r="N62" s="58">
        <v>480701</v>
      </c>
      <c r="O62" s="59">
        <v>25300</v>
      </c>
      <c r="P62" s="50">
        <f t="shared" ref="P62:P73" si="32">E62+J62</f>
        <v>10120029</v>
      </c>
      <c r="Q62" s="60">
        <v>0</v>
      </c>
      <c r="R62" s="107"/>
    </row>
    <row r="63" spans="1:18" ht="15" customHeight="1" x14ac:dyDescent="0.2">
      <c r="A63" s="19" t="s">
        <v>154</v>
      </c>
      <c r="B63" s="23" t="s">
        <v>187</v>
      </c>
      <c r="C63" s="20" t="s">
        <v>142</v>
      </c>
      <c r="D63" s="103"/>
      <c r="E63" s="50">
        <f t="shared" si="29"/>
        <v>29632407</v>
      </c>
      <c r="F63" s="57">
        <v>0</v>
      </c>
      <c r="G63" s="58">
        <v>29632407</v>
      </c>
      <c r="H63" s="58">
        <v>0</v>
      </c>
      <c r="I63" s="59">
        <v>0</v>
      </c>
      <c r="J63" s="50">
        <f t="shared" si="30"/>
        <v>1559600</v>
      </c>
      <c r="K63" s="50">
        <f t="shared" si="31"/>
        <v>1481620</v>
      </c>
      <c r="L63" s="57">
        <v>0</v>
      </c>
      <c r="M63" s="58">
        <v>0</v>
      </c>
      <c r="N63" s="58">
        <v>1481620</v>
      </c>
      <c r="O63" s="59">
        <v>77980</v>
      </c>
      <c r="P63" s="50">
        <f t="shared" si="32"/>
        <v>31192007</v>
      </c>
      <c r="Q63" s="60">
        <v>0</v>
      </c>
      <c r="R63" s="107"/>
    </row>
    <row r="64" spans="1:18" ht="15" customHeight="1" x14ac:dyDescent="0.2">
      <c r="A64" s="19" t="s">
        <v>155</v>
      </c>
      <c r="B64" s="23" t="s">
        <v>202</v>
      </c>
      <c r="C64" s="20" t="s">
        <v>143</v>
      </c>
      <c r="D64" s="103"/>
      <c r="E64" s="50">
        <f t="shared" si="29"/>
        <v>15000000</v>
      </c>
      <c r="F64" s="57">
        <v>0</v>
      </c>
      <c r="G64" s="58">
        <f>16000000-1000000</f>
        <v>15000000</v>
      </c>
      <c r="H64" s="58">
        <v>0</v>
      </c>
      <c r="I64" s="59">
        <v>0</v>
      </c>
      <c r="J64" s="50">
        <f t="shared" si="30"/>
        <v>2671827</v>
      </c>
      <c r="K64" s="50">
        <f t="shared" si="31"/>
        <v>2632353</v>
      </c>
      <c r="L64" s="57">
        <v>1882353</v>
      </c>
      <c r="M64" s="58">
        <v>0</v>
      </c>
      <c r="N64" s="58">
        <v>750000</v>
      </c>
      <c r="O64" s="59">
        <v>39474</v>
      </c>
      <c r="P64" s="50">
        <f t="shared" si="32"/>
        <v>17671827</v>
      </c>
      <c r="Q64" s="60">
        <v>0</v>
      </c>
      <c r="R64" s="31"/>
    </row>
    <row r="65" spans="1:18" ht="15" customHeight="1" x14ac:dyDescent="0.2">
      <c r="A65" s="19" t="s">
        <v>156</v>
      </c>
      <c r="B65" s="23" t="s">
        <v>202</v>
      </c>
      <c r="C65" s="20" t="s">
        <v>144</v>
      </c>
      <c r="D65" s="103"/>
      <c r="E65" s="50">
        <f t="shared" si="29"/>
        <v>24000000</v>
      </c>
      <c r="F65" s="57">
        <v>0</v>
      </c>
      <c r="G65" s="58">
        <v>24000000</v>
      </c>
      <c r="H65" s="58">
        <v>0</v>
      </c>
      <c r="I65" s="59">
        <v>0</v>
      </c>
      <c r="J65" s="50">
        <f t="shared" si="30"/>
        <v>4086687</v>
      </c>
      <c r="K65" s="50">
        <f t="shared" si="31"/>
        <v>4023529</v>
      </c>
      <c r="L65" s="57">
        <v>2823529</v>
      </c>
      <c r="M65" s="58">
        <v>0</v>
      </c>
      <c r="N65" s="58">
        <v>1200000</v>
      </c>
      <c r="O65" s="59">
        <v>63158</v>
      </c>
      <c r="P65" s="50">
        <f t="shared" si="32"/>
        <v>28086687</v>
      </c>
      <c r="Q65" s="60">
        <v>0</v>
      </c>
      <c r="R65" s="31"/>
    </row>
    <row r="66" spans="1:18" ht="15" customHeight="1" x14ac:dyDescent="0.2">
      <c r="A66" s="19" t="s">
        <v>157</v>
      </c>
      <c r="B66" s="23" t="s">
        <v>202</v>
      </c>
      <c r="C66" s="20" t="s">
        <v>145</v>
      </c>
      <c r="D66" s="103"/>
      <c r="E66" s="50">
        <f t="shared" si="29"/>
        <v>10000000</v>
      </c>
      <c r="F66" s="57">
        <v>0</v>
      </c>
      <c r="G66" s="58">
        <v>10000000</v>
      </c>
      <c r="H66" s="58">
        <v>0</v>
      </c>
      <c r="I66" s="59">
        <v>0</v>
      </c>
      <c r="J66" s="50">
        <f t="shared" si="30"/>
        <v>1702787</v>
      </c>
      <c r="K66" s="50">
        <f t="shared" si="31"/>
        <v>1676471</v>
      </c>
      <c r="L66" s="57">
        <v>1176471</v>
      </c>
      <c r="M66" s="58">
        <v>0</v>
      </c>
      <c r="N66" s="58">
        <v>500000</v>
      </c>
      <c r="O66" s="59">
        <v>26316</v>
      </c>
      <c r="P66" s="50">
        <f t="shared" si="32"/>
        <v>11702787</v>
      </c>
      <c r="Q66" s="60">
        <v>0</v>
      </c>
      <c r="R66" s="31"/>
    </row>
    <row r="67" spans="1:18" ht="15" customHeight="1" x14ac:dyDescent="0.2">
      <c r="A67" s="19" t="s">
        <v>158</v>
      </c>
      <c r="B67" s="23" t="s">
        <v>202</v>
      </c>
      <c r="C67" s="20" t="s">
        <v>146</v>
      </c>
      <c r="D67" s="103"/>
      <c r="E67" s="50">
        <f t="shared" si="29"/>
        <v>5000000</v>
      </c>
      <c r="F67" s="57">
        <v>0</v>
      </c>
      <c r="G67" s="58">
        <v>5000000</v>
      </c>
      <c r="H67" s="58">
        <v>0</v>
      </c>
      <c r="I67" s="59">
        <v>0</v>
      </c>
      <c r="J67" s="50">
        <f t="shared" si="30"/>
        <v>851393</v>
      </c>
      <c r="K67" s="50">
        <f t="shared" si="31"/>
        <v>838235</v>
      </c>
      <c r="L67" s="57">
        <v>588235</v>
      </c>
      <c r="M67" s="58">
        <v>0</v>
      </c>
      <c r="N67" s="58">
        <v>250000</v>
      </c>
      <c r="O67" s="59">
        <v>13158</v>
      </c>
      <c r="P67" s="50">
        <f t="shared" si="32"/>
        <v>5851393</v>
      </c>
      <c r="Q67" s="60">
        <v>0</v>
      </c>
      <c r="R67" s="31"/>
    </row>
    <row r="68" spans="1:18" ht="15" customHeight="1" x14ac:dyDescent="0.2">
      <c r="A68" s="19" t="s">
        <v>159</v>
      </c>
      <c r="B68" s="23" t="s">
        <v>188</v>
      </c>
      <c r="C68" s="20" t="s">
        <v>147</v>
      </c>
      <c r="D68" s="103"/>
      <c r="E68" s="50">
        <f t="shared" si="29"/>
        <v>30660944</v>
      </c>
      <c r="F68" s="57">
        <v>0</v>
      </c>
      <c r="G68" s="58">
        <f>29660944+39056+182018+778926</f>
        <v>30660944</v>
      </c>
      <c r="H68" s="58">
        <v>0</v>
      </c>
      <c r="I68" s="59">
        <v>0</v>
      </c>
      <c r="J68" s="50">
        <f t="shared" si="30"/>
        <v>1613734</v>
      </c>
      <c r="K68" s="50">
        <f t="shared" si="31"/>
        <v>1533047</v>
      </c>
      <c r="L68" s="57">
        <v>0</v>
      </c>
      <c r="M68" s="58">
        <v>0</v>
      </c>
      <c r="N68" s="58">
        <v>1533047</v>
      </c>
      <c r="O68" s="59">
        <v>80687</v>
      </c>
      <c r="P68" s="50">
        <f t="shared" si="32"/>
        <v>32274678</v>
      </c>
      <c r="Q68" s="60">
        <v>0</v>
      </c>
      <c r="R68" s="31"/>
    </row>
    <row r="69" spans="1:18" ht="15" customHeight="1" x14ac:dyDescent="0.2">
      <c r="A69" s="19" t="s">
        <v>160</v>
      </c>
      <c r="B69" s="23" t="s">
        <v>188</v>
      </c>
      <c r="C69" s="20" t="s">
        <v>148</v>
      </c>
      <c r="D69" s="103"/>
      <c r="E69" s="50">
        <f t="shared" si="29"/>
        <v>10246955</v>
      </c>
      <c r="F69" s="57">
        <v>0</v>
      </c>
      <c r="G69" s="58">
        <v>10246955</v>
      </c>
      <c r="H69" s="58">
        <v>0</v>
      </c>
      <c r="I69" s="59">
        <v>0</v>
      </c>
      <c r="J69" s="50">
        <f t="shared" si="30"/>
        <v>539314</v>
      </c>
      <c r="K69" s="50">
        <f t="shared" si="31"/>
        <v>512348</v>
      </c>
      <c r="L69" s="57">
        <v>0</v>
      </c>
      <c r="M69" s="58">
        <v>0</v>
      </c>
      <c r="N69" s="58">
        <v>512348</v>
      </c>
      <c r="O69" s="59">
        <v>26966</v>
      </c>
      <c r="P69" s="50">
        <f t="shared" si="32"/>
        <v>10786269</v>
      </c>
      <c r="Q69" s="60">
        <v>0</v>
      </c>
      <c r="R69" s="31"/>
    </row>
    <row r="70" spans="1:18" ht="15" customHeight="1" x14ac:dyDescent="0.2">
      <c r="A70" s="19" t="s">
        <v>161</v>
      </c>
      <c r="B70" s="23" t="s">
        <v>188</v>
      </c>
      <c r="C70" s="20" t="s">
        <v>149</v>
      </c>
      <c r="D70" s="103"/>
      <c r="E70" s="50">
        <f t="shared" si="29"/>
        <v>11745131</v>
      </c>
      <c r="F70" s="57">
        <v>0</v>
      </c>
      <c r="G70" s="58">
        <f>12524057-778926</f>
        <v>11745131</v>
      </c>
      <c r="H70" s="58">
        <v>0</v>
      </c>
      <c r="I70" s="59">
        <v>0</v>
      </c>
      <c r="J70" s="50">
        <f t="shared" si="30"/>
        <v>618164</v>
      </c>
      <c r="K70" s="50">
        <f t="shared" si="31"/>
        <v>587256</v>
      </c>
      <c r="L70" s="57">
        <v>0</v>
      </c>
      <c r="M70" s="58">
        <v>0</v>
      </c>
      <c r="N70" s="58">
        <v>587256</v>
      </c>
      <c r="O70" s="59">
        <v>30908</v>
      </c>
      <c r="P70" s="50">
        <f t="shared" si="32"/>
        <v>12363295</v>
      </c>
      <c r="Q70" s="60">
        <v>0</v>
      </c>
      <c r="R70" s="31"/>
    </row>
    <row r="71" spans="1:18" ht="15" customHeight="1" x14ac:dyDescent="0.2">
      <c r="A71" s="19" t="s">
        <v>162</v>
      </c>
      <c r="B71" s="23" t="s">
        <v>180</v>
      </c>
      <c r="C71" s="20" t="s">
        <v>150</v>
      </c>
      <c r="D71" s="103"/>
      <c r="E71" s="50">
        <f t="shared" si="29"/>
        <v>28720431</v>
      </c>
      <c r="F71" s="57">
        <v>0</v>
      </c>
      <c r="G71" s="89">
        <f>28720431</f>
        <v>28720431</v>
      </c>
      <c r="H71" s="58">
        <v>0</v>
      </c>
      <c r="I71" s="59">
        <v>0</v>
      </c>
      <c r="J71" s="50">
        <f t="shared" si="30"/>
        <v>1511602</v>
      </c>
      <c r="K71" s="50">
        <f t="shared" si="31"/>
        <v>1436022</v>
      </c>
      <c r="L71" s="119">
        <v>0</v>
      </c>
      <c r="M71" s="89">
        <v>0</v>
      </c>
      <c r="N71" s="89">
        <v>1436022</v>
      </c>
      <c r="O71" s="109">
        <v>75580</v>
      </c>
      <c r="P71" s="50">
        <f t="shared" si="32"/>
        <v>30232033</v>
      </c>
      <c r="Q71" s="60">
        <v>0</v>
      </c>
      <c r="R71" s="31"/>
    </row>
    <row r="72" spans="1:18" ht="15" customHeight="1" x14ac:dyDescent="0.2">
      <c r="A72" s="19" t="s">
        <v>163</v>
      </c>
      <c r="B72" s="23" t="s">
        <v>180</v>
      </c>
      <c r="C72" s="20" t="s">
        <v>151</v>
      </c>
      <c r="D72" s="103"/>
      <c r="E72" s="50">
        <f t="shared" si="29"/>
        <v>35915797</v>
      </c>
      <c r="F72" s="57">
        <v>0</v>
      </c>
      <c r="G72" s="89">
        <f>48135797-9220000-3000000</f>
        <v>35915797</v>
      </c>
      <c r="H72" s="58">
        <v>0</v>
      </c>
      <c r="I72" s="59">
        <v>0</v>
      </c>
      <c r="J72" s="50">
        <f t="shared" si="30"/>
        <v>4869717</v>
      </c>
      <c r="K72" s="50">
        <f t="shared" si="31"/>
        <v>4775202</v>
      </c>
      <c r="L72" s="119">
        <v>2979412</v>
      </c>
      <c r="M72" s="89">
        <v>0</v>
      </c>
      <c r="N72" s="89">
        <v>1795790</v>
      </c>
      <c r="O72" s="109">
        <v>94515</v>
      </c>
      <c r="P72" s="50">
        <f t="shared" si="32"/>
        <v>40785514</v>
      </c>
      <c r="Q72" s="60">
        <v>0</v>
      </c>
      <c r="R72" s="31"/>
    </row>
    <row r="73" spans="1:18" ht="15" customHeight="1" x14ac:dyDescent="0.2">
      <c r="A73" s="19" t="s">
        <v>164</v>
      </c>
      <c r="B73" s="23" t="s">
        <v>180</v>
      </c>
      <c r="C73" s="20" t="s">
        <v>152</v>
      </c>
      <c r="D73" s="103"/>
      <c r="E73" s="50">
        <f t="shared" si="29"/>
        <v>10000000</v>
      </c>
      <c r="F73" s="57">
        <v>0</v>
      </c>
      <c r="G73" s="58">
        <v>10000000</v>
      </c>
      <c r="H73" s="58">
        <v>0</v>
      </c>
      <c r="I73" s="59">
        <v>0</v>
      </c>
      <c r="J73" s="50">
        <f t="shared" si="30"/>
        <v>526316</v>
      </c>
      <c r="K73" s="50">
        <f t="shared" si="31"/>
        <v>500000</v>
      </c>
      <c r="L73" s="57">
        <v>0</v>
      </c>
      <c r="M73" s="58">
        <v>0</v>
      </c>
      <c r="N73" s="58">
        <v>500000</v>
      </c>
      <c r="O73" s="59">
        <v>26316</v>
      </c>
      <c r="P73" s="50">
        <f t="shared" si="32"/>
        <v>10526316</v>
      </c>
      <c r="Q73" s="60">
        <v>0</v>
      </c>
      <c r="R73" s="31"/>
    </row>
    <row r="74" spans="1:18" ht="15" customHeight="1" x14ac:dyDescent="0.2">
      <c r="A74" s="9" t="s">
        <v>39</v>
      </c>
      <c r="B74" s="27"/>
      <c r="C74" s="10" t="s">
        <v>285</v>
      </c>
      <c r="D74" s="103"/>
      <c r="E74" s="51">
        <f>E75</f>
        <v>45000000</v>
      </c>
      <c r="F74" s="52">
        <f t="shared" ref="F74:Q74" si="33">F75</f>
        <v>0</v>
      </c>
      <c r="G74" s="53">
        <f t="shared" si="33"/>
        <v>45000000</v>
      </c>
      <c r="H74" s="53">
        <f t="shared" si="33"/>
        <v>0</v>
      </c>
      <c r="I74" s="54">
        <f t="shared" si="33"/>
        <v>0</v>
      </c>
      <c r="J74" s="51">
        <f t="shared" si="33"/>
        <v>3519864</v>
      </c>
      <c r="K74" s="51">
        <f t="shared" si="33"/>
        <v>3401442</v>
      </c>
      <c r="L74" s="52">
        <f t="shared" si="33"/>
        <v>1151442</v>
      </c>
      <c r="M74" s="53">
        <f t="shared" si="33"/>
        <v>0</v>
      </c>
      <c r="N74" s="53">
        <f t="shared" si="33"/>
        <v>2250000</v>
      </c>
      <c r="O74" s="54">
        <f t="shared" si="33"/>
        <v>118422</v>
      </c>
      <c r="P74" s="51">
        <f t="shared" si="33"/>
        <v>48519864</v>
      </c>
      <c r="Q74" s="55">
        <f t="shared" si="33"/>
        <v>0</v>
      </c>
      <c r="R74" s="31"/>
    </row>
    <row r="75" spans="1:18" ht="15" customHeight="1" x14ac:dyDescent="0.2">
      <c r="A75" s="14" t="s">
        <v>167</v>
      </c>
      <c r="B75" s="25" t="s">
        <v>181</v>
      </c>
      <c r="C75" s="15" t="s">
        <v>168</v>
      </c>
      <c r="D75" s="103"/>
      <c r="E75" s="50">
        <f>F75+G75+H75+I75</f>
        <v>45000000</v>
      </c>
      <c r="F75" s="57">
        <v>0</v>
      </c>
      <c r="G75" s="58">
        <v>45000000</v>
      </c>
      <c r="H75" s="58">
        <v>0</v>
      </c>
      <c r="I75" s="59">
        <v>0</v>
      </c>
      <c r="J75" s="50">
        <f>K75+O75</f>
        <v>3519864</v>
      </c>
      <c r="K75" s="50">
        <f>L75+M75+N75</f>
        <v>3401442</v>
      </c>
      <c r="L75" s="57">
        <v>1151442</v>
      </c>
      <c r="M75" s="58">
        <v>0</v>
      </c>
      <c r="N75" s="58">
        <v>2250000</v>
      </c>
      <c r="O75" s="59">
        <v>118422</v>
      </c>
      <c r="P75" s="50">
        <f>E75+J75</f>
        <v>48519864</v>
      </c>
      <c r="Q75" s="60">
        <v>0</v>
      </c>
      <c r="R75" s="31"/>
    </row>
    <row r="76" spans="1:18" ht="15" customHeight="1" x14ac:dyDescent="0.2">
      <c r="A76" s="9" t="s">
        <v>40</v>
      </c>
      <c r="B76" s="27"/>
      <c r="C76" s="10" t="s">
        <v>172</v>
      </c>
      <c r="D76" s="103"/>
      <c r="E76" s="51">
        <f>E77</f>
        <v>20156712</v>
      </c>
      <c r="F76" s="52">
        <f t="shared" ref="F76:Q76" si="34">F77</f>
        <v>0</v>
      </c>
      <c r="G76" s="53">
        <f t="shared" si="34"/>
        <v>0</v>
      </c>
      <c r="H76" s="53">
        <f t="shared" si="34"/>
        <v>20156712</v>
      </c>
      <c r="I76" s="54">
        <f t="shared" si="34"/>
        <v>0</v>
      </c>
      <c r="J76" s="51">
        <f t="shared" si="34"/>
        <v>3557067</v>
      </c>
      <c r="K76" s="51">
        <f t="shared" si="34"/>
        <v>3557067</v>
      </c>
      <c r="L76" s="52">
        <f t="shared" si="34"/>
        <v>0</v>
      </c>
      <c r="M76" s="53">
        <f t="shared" si="34"/>
        <v>3557067</v>
      </c>
      <c r="N76" s="53">
        <f t="shared" si="34"/>
        <v>0</v>
      </c>
      <c r="O76" s="54">
        <f t="shared" si="34"/>
        <v>0</v>
      </c>
      <c r="P76" s="51">
        <f t="shared" si="34"/>
        <v>23713779</v>
      </c>
      <c r="Q76" s="55">
        <f t="shared" si="34"/>
        <v>0</v>
      </c>
      <c r="R76" s="31"/>
    </row>
    <row r="77" spans="1:18" ht="15" customHeight="1" x14ac:dyDescent="0.2">
      <c r="A77" s="14" t="s">
        <v>166</v>
      </c>
      <c r="B77" s="25" t="s">
        <v>182</v>
      </c>
      <c r="C77" s="15" t="s">
        <v>169</v>
      </c>
      <c r="D77" s="103"/>
      <c r="E77" s="50">
        <f>F77+G77+H77+I77</f>
        <v>20156712</v>
      </c>
      <c r="F77" s="73">
        <v>0</v>
      </c>
      <c r="G77" s="74">
        <v>0</v>
      </c>
      <c r="H77" s="74">
        <v>20156712</v>
      </c>
      <c r="I77" s="75">
        <v>0</v>
      </c>
      <c r="J77" s="50">
        <f>K77+O77</f>
        <v>3557067</v>
      </c>
      <c r="K77" s="50">
        <f>L77+M77+N77</f>
        <v>3557067</v>
      </c>
      <c r="L77" s="73">
        <v>0</v>
      </c>
      <c r="M77" s="74">
        <v>3557067</v>
      </c>
      <c r="N77" s="74">
        <v>0</v>
      </c>
      <c r="O77" s="75">
        <v>0</v>
      </c>
      <c r="P77" s="50">
        <f>E77+J77</f>
        <v>23713779</v>
      </c>
      <c r="Q77" s="76">
        <v>0</v>
      </c>
      <c r="R77" s="31"/>
    </row>
    <row r="78" spans="1:18" ht="15" customHeight="1" x14ac:dyDescent="0.2">
      <c r="A78" s="9" t="s">
        <v>41</v>
      </c>
      <c r="B78" s="27"/>
      <c r="C78" s="10" t="s">
        <v>171</v>
      </c>
      <c r="D78" s="103"/>
      <c r="E78" s="51">
        <f>E79</f>
        <v>50051137</v>
      </c>
      <c r="F78" s="52">
        <f t="shared" ref="F78:Q78" si="35">F79</f>
        <v>0</v>
      </c>
      <c r="G78" s="53">
        <f t="shared" si="35"/>
        <v>50051137</v>
      </c>
      <c r="H78" s="53">
        <f t="shared" si="35"/>
        <v>0</v>
      </c>
      <c r="I78" s="54">
        <f t="shared" si="35"/>
        <v>0</v>
      </c>
      <c r="J78" s="51">
        <f t="shared" si="35"/>
        <v>8832554</v>
      </c>
      <c r="K78" s="51">
        <f t="shared" si="35"/>
        <v>8832554</v>
      </c>
      <c r="L78" s="52">
        <f t="shared" si="35"/>
        <v>0</v>
      </c>
      <c r="M78" s="53">
        <f t="shared" si="35"/>
        <v>8832554</v>
      </c>
      <c r="N78" s="53">
        <f t="shared" si="35"/>
        <v>0</v>
      </c>
      <c r="O78" s="54">
        <f t="shared" si="35"/>
        <v>0</v>
      </c>
      <c r="P78" s="51">
        <f t="shared" si="35"/>
        <v>58883691</v>
      </c>
      <c r="Q78" s="55">
        <f t="shared" si="35"/>
        <v>0</v>
      </c>
      <c r="R78" s="31"/>
    </row>
    <row r="79" spans="1:18" ht="15" customHeight="1" x14ac:dyDescent="0.2">
      <c r="A79" s="14" t="s">
        <v>165</v>
      </c>
      <c r="B79" s="25" t="s">
        <v>182</v>
      </c>
      <c r="C79" s="15" t="s">
        <v>170</v>
      </c>
      <c r="D79" s="103"/>
      <c r="E79" s="50">
        <f>F79+G79+H79+I79</f>
        <v>50051137</v>
      </c>
      <c r="F79" s="57">
        <v>0</v>
      </c>
      <c r="G79" s="58">
        <v>50051137</v>
      </c>
      <c r="H79" s="58">
        <v>0</v>
      </c>
      <c r="I79" s="59">
        <v>0</v>
      </c>
      <c r="J79" s="50">
        <f>K79+O79</f>
        <v>8832554</v>
      </c>
      <c r="K79" s="50">
        <f>L79+M79+N79</f>
        <v>8832554</v>
      </c>
      <c r="L79" s="57">
        <v>0</v>
      </c>
      <c r="M79" s="58">
        <v>8832554</v>
      </c>
      <c r="N79" s="58">
        <v>0</v>
      </c>
      <c r="O79" s="59">
        <v>0</v>
      </c>
      <c r="P79" s="50">
        <f>E79+J79</f>
        <v>58883691</v>
      </c>
      <c r="Q79" s="60">
        <v>0</v>
      </c>
      <c r="R79" s="31"/>
    </row>
    <row r="80" spans="1:18" ht="15" customHeight="1" x14ac:dyDescent="0.2">
      <c r="A80" s="9" t="s">
        <v>258</v>
      </c>
      <c r="B80" s="27"/>
      <c r="C80" s="10" t="s">
        <v>290</v>
      </c>
      <c r="D80" s="103"/>
      <c r="E80" s="51">
        <f>E81</f>
        <v>10000000</v>
      </c>
      <c r="F80" s="52">
        <f t="shared" ref="F80:Q80" si="36">F81</f>
        <v>0</v>
      </c>
      <c r="G80" s="53">
        <f t="shared" si="36"/>
        <v>10000000</v>
      </c>
      <c r="H80" s="53">
        <f t="shared" si="36"/>
        <v>0</v>
      </c>
      <c r="I80" s="54">
        <f t="shared" si="36"/>
        <v>0</v>
      </c>
      <c r="J80" s="51">
        <f t="shared" si="36"/>
        <v>526316</v>
      </c>
      <c r="K80" s="51">
        <f t="shared" si="36"/>
        <v>526316</v>
      </c>
      <c r="L80" s="52">
        <f t="shared" si="36"/>
        <v>0</v>
      </c>
      <c r="M80" s="53">
        <f t="shared" si="36"/>
        <v>0</v>
      </c>
      <c r="N80" s="53">
        <f t="shared" si="36"/>
        <v>526316</v>
      </c>
      <c r="O80" s="54">
        <f t="shared" si="36"/>
        <v>0</v>
      </c>
      <c r="P80" s="51">
        <f t="shared" si="36"/>
        <v>10526316</v>
      </c>
      <c r="Q80" s="55">
        <f t="shared" si="36"/>
        <v>0</v>
      </c>
      <c r="R80" s="31"/>
    </row>
    <row r="81" spans="1:18" ht="15" customHeight="1" x14ac:dyDescent="0.2">
      <c r="A81" s="14" t="s">
        <v>263</v>
      </c>
      <c r="B81" s="25" t="s">
        <v>271</v>
      </c>
      <c r="C81" s="15" t="s">
        <v>291</v>
      </c>
      <c r="D81" s="103"/>
      <c r="E81" s="50">
        <f>F81+G81+H81+I81</f>
        <v>10000000</v>
      </c>
      <c r="F81" s="57">
        <v>0</v>
      </c>
      <c r="G81" s="58">
        <v>10000000</v>
      </c>
      <c r="H81" s="58">
        <v>0</v>
      </c>
      <c r="I81" s="59">
        <v>0</v>
      </c>
      <c r="J81" s="50">
        <f>K81+O81</f>
        <v>526316</v>
      </c>
      <c r="K81" s="50">
        <f>L81+M81+N81</f>
        <v>526316</v>
      </c>
      <c r="L81" s="57">
        <v>0</v>
      </c>
      <c r="M81" s="58">
        <v>0</v>
      </c>
      <c r="N81" s="58">
        <v>526316</v>
      </c>
      <c r="O81" s="59">
        <v>0</v>
      </c>
      <c r="P81" s="50">
        <f>E81+J81</f>
        <v>10526316</v>
      </c>
      <c r="Q81" s="60">
        <v>0</v>
      </c>
      <c r="R81" s="31"/>
    </row>
    <row r="82" spans="1:18" ht="15" customHeight="1" x14ac:dyDescent="0.2">
      <c r="A82" s="9" t="s">
        <v>259</v>
      </c>
      <c r="B82" s="27"/>
      <c r="C82" s="10" t="s">
        <v>284</v>
      </c>
      <c r="D82" s="103"/>
      <c r="E82" s="51">
        <f>E83</f>
        <v>30000000</v>
      </c>
      <c r="F82" s="52">
        <f t="shared" ref="F82:Q82" si="37">F83</f>
        <v>0</v>
      </c>
      <c r="G82" s="53">
        <f t="shared" si="37"/>
        <v>30000000</v>
      </c>
      <c r="H82" s="53">
        <f t="shared" si="37"/>
        <v>0</v>
      </c>
      <c r="I82" s="54">
        <f t="shared" si="37"/>
        <v>0</v>
      </c>
      <c r="J82" s="51">
        <f t="shared" si="37"/>
        <v>1578948</v>
      </c>
      <c r="K82" s="51">
        <f t="shared" si="37"/>
        <v>1578948</v>
      </c>
      <c r="L82" s="52">
        <f t="shared" si="37"/>
        <v>0</v>
      </c>
      <c r="M82" s="53">
        <f t="shared" si="37"/>
        <v>0</v>
      </c>
      <c r="N82" s="53">
        <f t="shared" si="37"/>
        <v>1578948</v>
      </c>
      <c r="O82" s="54">
        <f t="shared" si="37"/>
        <v>0</v>
      </c>
      <c r="P82" s="51">
        <f t="shared" si="37"/>
        <v>31578948</v>
      </c>
      <c r="Q82" s="55">
        <f t="shared" si="37"/>
        <v>0</v>
      </c>
      <c r="R82" s="31"/>
    </row>
    <row r="83" spans="1:18" ht="15" customHeight="1" x14ac:dyDescent="0.2">
      <c r="A83" s="14" t="s">
        <v>264</v>
      </c>
      <c r="B83" s="25" t="s">
        <v>183</v>
      </c>
      <c r="C83" s="15" t="s">
        <v>283</v>
      </c>
      <c r="D83" s="103"/>
      <c r="E83" s="50">
        <f>F83+G83+H83+I83</f>
        <v>30000000</v>
      </c>
      <c r="F83" s="57">
        <v>0</v>
      </c>
      <c r="G83" s="58">
        <v>30000000</v>
      </c>
      <c r="H83" s="58">
        <v>0</v>
      </c>
      <c r="I83" s="59">
        <v>0</v>
      </c>
      <c r="J83" s="50">
        <f>K83+O83</f>
        <v>1578948</v>
      </c>
      <c r="K83" s="50">
        <f>L83+M83+N83</f>
        <v>1578948</v>
      </c>
      <c r="L83" s="57">
        <v>0</v>
      </c>
      <c r="M83" s="58">
        <v>0</v>
      </c>
      <c r="N83" s="58">
        <v>1578948</v>
      </c>
      <c r="O83" s="59">
        <v>0</v>
      </c>
      <c r="P83" s="50">
        <f>E83+J83</f>
        <v>31578948</v>
      </c>
      <c r="Q83" s="60">
        <v>0</v>
      </c>
    </row>
    <row r="84" spans="1:18" ht="15" customHeight="1" x14ac:dyDescent="0.2">
      <c r="A84" s="9" t="s">
        <v>260</v>
      </c>
      <c r="B84" s="27"/>
      <c r="C84" s="10" t="s">
        <v>292</v>
      </c>
      <c r="D84" s="103"/>
      <c r="E84" s="51">
        <f>SUM(E85:E88)</f>
        <v>89996688</v>
      </c>
      <c r="F84" s="53">
        <f>SUM(F85:F88)</f>
        <v>0</v>
      </c>
      <c r="G84" s="53">
        <f>SUM(G85:G88)</f>
        <v>89996688</v>
      </c>
      <c r="H84" s="53">
        <f t="shared" ref="H84:Q84" si="38">SUM(H85:H88)</f>
        <v>0</v>
      </c>
      <c r="I84" s="53">
        <f t="shared" si="38"/>
        <v>0</v>
      </c>
      <c r="J84" s="53">
        <f t="shared" si="38"/>
        <v>4736668</v>
      </c>
      <c r="K84" s="53">
        <f t="shared" si="38"/>
        <v>4736668</v>
      </c>
      <c r="L84" s="53">
        <f t="shared" si="38"/>
        <v>0</v>
      </c>
      <c r="M84" s="53">
        <f t="shared" si="38"/>
        <v>0</v>
      </c>
      <c r="N84" s="53">
        <f t="shared" si="38"/>
        <v>4736668</v>
      </c>
      <c r="O84" s="53">
        <f t="shared" si="38"/>
        <v>0</v>
      </c>
      <c r="P84" s="53">
        <f t="shared" si="38"/>
        <v>94733356</v>
      </c>
      <c r="Q84" s="53">
        <f t="shared" si="38"/>
        <v>0</v>
      </c>
    </row>
    <row r="85" spans="1:18" ht="15" customHeight="1" x14ac:dyDescent="0.2">
      <c r="A85" s="14" t="s">
        <v>265</v>
      </c>
      <c r="B85" s="25" t="s">
        <v>270</v>
      </c>
      <c r="C85" s="15" t="s">
        <v>279</v>
      </c>
      <c r="D85" s="103"/>
      <c r="E85" s="50">
        <f>F85+G85+H85+I85</f>
        <v>34314333</v>
      </c>
      <c r="F85" s="57">
        <v>0</v>
      </c>
      <c r="G85" s="58">
        <v>34314333</v>
      </c>
      <c r="H85" s="58">
        <v>0</v>
      </c>
      <c r="I85" s="59">
        <v>0</v>
      </c>
      <c r="J85" s="50">
        <f>K85+O85</f>
        <v>1806018</v>
      </c>
      <c r="K85" s="50">
        <f>L85+M85+N85</f>
        <v>1806018</v>
      </c>
      <c r="L85" s="57">
        <v>0</v>
      </c>
      <c r="M85" s="58">
        <v>0</v>
      </c>
      <c r="N85" s="58">
        <v>1806018</v>
      </c>
      <c r="O85" s="59">
        <v>0</v>
      </c>
      <c r="P85" s="50">
        <f>E85+J85</f>
        <v>36120351</v>
      </c>
      <c r="Q85" s="60">
        <v>0</v>
      </c>
    </row>
    <row r="86" spans="1:18" ht="15" customHeight="1" x14ac:dyDescent="0.2">
      <c r="A86" s="14" t="s">
        <v>272</v>
      </c>
      <c r="B86" s="25" t="s">
        <v>270</v>
      </c>
      <c r="C86" s="15" t="s">
        <v>280</v>
      </c>
      <c r="D86" s="103"/>
      <c r="E86" s="50">
        <f t="shared" ref="E86:E88" si="39">F86+G86+H86+I86</f>
        <v>14277132</v>
      </c>
      <c r="F86" s="57">
        <v>0</v>
      </c>
      <c r="G86" s="58">
        <v>14277132</v>
      </c>
      <c r="H86" s="58">
        <v>0</v>
      </c>
      <c r="I86" s="59">
        <v>0</v>
      </c>
      <c r="J86" s="50">
        <f t="shared" ref="J86:J88" si="40">K86+O86</f>
        <v>751428</v>
      </c>
      <c r="K86" s="50">
        <f t="shared" ref="K86:K88" si="41">L86+M86+N86</f>
        <v>751428</v>
      </c>
      <c r="L86" s="57">
        <v>0</v>
      </c>
      <c r="M86" s="58">
        <v>0</v>
      </c>
      <c r="N86" s="58">
        <v>751428</v>
      </c>
      <c r="O86" s="59">
        <v>0</v>
      </c>
      <c r="P86" s="50">
        <f t="shared" ref="P86:P88" si="42">E86+J86</f>
        <v>15028560</v>
      </c>
      <c r="Q86" s="60">
        <v>0</v>
      </c>
    </row>
    <row r="87" spans="1:18" ht="15" customHeight="1" x14ac:dyDescent="0.2">
      <c r="A87" s="14" t="s">
        <v>273</v>
      </c>
      <c r="B87" s="25" t="s">
        <v>270</v>
      </c>
      <c r="C87" s="15" t="s">
        <v>281</v>
      </c>
      <c r="D87" s="103"/>
      <c r="E87" s="50">
        <f t="shared" si="39"/>
        <v>12000000</v>
      </c>
      <c r="F87" s="57">
        <v>0</v>
      </c>
      <c r="G87" s="58">
        <v>12000000</v>
      </c>
      <c r="H87" s="58">
        <v>0</v>
      </c>
      <c r="I87" s="59">
        <v>0</v>
      </c>
      <c r="J87" s="50">
        <f t="shared" si="40"/>
        <v>631579</v>
      </c>
      <c r="K87" s="50">
        <f t="shared" si="41"/>
        <v>631579</v>
      </c>
      <c r="L87" s="57">
        <v>0</v>
      </c>
      <c r="M87" s="58">
        <v>0</v>
      </c>
      <c r="N87" s="58">
        <v>631579</v>
      </c>
      <c r="O87" s="59">
        <v>0</v>
      </c>
      <c r="P87" s="50">
        <f t="shared" si="42"/>
        <v>12631579</v>
      </c>
      <c r="Q87" s="60">
        <v>0</v>
      </c>
    </row>
    <row r="88" spans="1:18" ht="15" customHeight="1" x14ac:dyDescent="0.2">
      <c r="A88" s="14" t="s">
        <v>274</v>
      </c>
      <c r="B88" s="25" t="s">
        <v>270</v>
      </c>
      <c r="C88" s="15" t="s">
        <v>282</v>
      </c>
      <c r="D88" s="103"/>
      <c r="E88" s="50">
        <f t="shared" si="39"/>
        <v>29405223</v>
      </c>
      <c r="F88" s="57">
        <v>0</v>
      </c>
      <c r="G88" s="58">
        <v>29405223</v>
      </c>
      <c r="H88" s="58">
        <v>0</v>
      </c>
      <c r="I88" s="59">
        <v>0</v>
      </c>
      <c r="J88" s="50">
        <f t="shared" si="40"/>
        <v>1547643</v>
      </c>
      <c r="K88" s="50">
        <f t="shared" si="41"/>
        <v>1547643</v>
      </c>
      <c r="L88" s="57">
        <v>0</v>
      </c>
      <c r="M88" s="58">
        <v>0</v>
      </c>
      <c r="N88" s="58">
        <v>1547643</v>
      </c>
      <c r="O88" s="59">
        <v>0</v>
      </c>
      <c r="P88" s="50">
        <f t="shared" si="42"/>
        <v>30952866</v>
      </c>
      <c r="Q88" s="60">
        <v>0</v>
      </c>
    </row>
    <row r="89" spans="1:18" ht="15" customHeight="1" x14ac:dyDescent="0.2">
      <c r="A89" s="9" t="s">
        <v>261</v>
      </c>
      <c r="B89" s="27"/>
      <c r="C89" s="10" t="s">
        <v>293</v>
      </c>
      <c r="D89" s="103"/>
      <c r="E89" s="51">
        <f>E90</f>
        <v>23440000</v>
      </c>
      <c r="F89" s="52">
        <f t="shared" ref="F89:Q89" si="43">F90</f>
        <v>0</v>
      </c>
      <c r="G89" s="53">
        <f t="shared" si="43"/>
        <v>23440000</v>
      </c>
      <c r="H89" s="53">
        <f t="shared" si="43"/>
        <v>0</v>
      </c>
      <c r="I89" s="54">
        <f t="shared" si="43"/>
        <v>0</v>
      </c>
      <c r="J89" s="51">
        <f t="shared" si="43"/>
        <v>1233685</v>
      </c>
      <c r="K89" s="51">
        <f t="shared" si="43"/>
        <v>1233685</v>
      </c>
      <c r="L89" s="52">
        <f t="shared" si="43"/>
        <v>0</v>
      </c>
      <c r="M89" s="53">
        <f t="shared" si="43"/>
        <v>0</v>
      </c>
      <c r="N89" s="53">
        <f t="shared" si="43"/>
        <v>1233685</v>
      </c>
      <c r="O89" s="54">
        <f t="shared" si="43"/>
        <v>0</v>
      </c>
      <c r="P89" s="51">
        <f t="shared" si="43"/>
        <v>24673685</v>
      </c>
      <c r="Q89" s="55">
        <f t="shared" si="43"/>
        <v>0</v>
      </c>
    </row>
    <row r="90" spans="1:18" ht="15" customHeight="1" x14ac:dyDescent="0.2">
      <c r="A90" s="14" t="s">
        <v>266</v>
      </c>
      <c r="B90" s="25" t="s">
        <v>269</v>
      </c>
      <c r="C90" s="15" t="s">
        <v>276</v>
      </c>
      <c r="D90" s="103"/>
      <c r="E90" s="50">
        <f>F90+G90+H90+I90</f>
        <v>23440000</v>
      </c>
      <c r="F90" s="57">
        <v>0</v>
      </c>
      <c r="G90" s="58">
        <v>23440000</v>
      </c>
      <c r="H90" s="58">
        <v>0</v>
      </c>
      <c r="I90" s="59">
        <v>0</v>
      </c>
      <c r="J90" s="50">
        <f>K90+O90</f>
        <v>1233685</v>
      </c>
      <c r="K90" s="50">
        <f>L90+M90+N90</f>
        <v>1233685</v>
      </c>
      <c r="L90" s="57">
        <v>0</v>
      </c>
      <c r="M90" s="58">
        <v>0</v>
      </c>
      <c r="N90" s="58">
        <v>1233685</v>
      </c>
      <c r="O90" s="59">
        <v>0</v>
      </c>
      <c r="P90" s="50">
        <f>E90+J90</f>
        <v>24673685</v>
      </c>
      <c r="Q90" s="60">
        <v>0</v>
      </c>
    </row>
    <row r="91" spans="1:18" ht="15" customHeight="1" x14ac:dyDescent="0.2">
      <c r="A91" s="9" t="s">
        <v>262</v>
      </c>
      <c r="B91" s="27"/>
      <c r="C91" s="10" t="s">
        <v>294</v>
      </c>
      <c r="D91" s="103"/>
      <c r="E91" s="51">
        <f>SUM(E92:E93)</f>
        <v>49750000</v>
      </c>
      <c r="F91" s="99">
        <f t="shared" ref="F91:Q91" si="44">SUM(F92:F93)</f>
        <v>0</v>
      </c>
      <c r="G91" s="53">
        <f t="shared" si="44"/>
        <v>0</v>
      </c>
      <c r="H91" s="53">
        <f t="shared" si="44"/>
        <v>49750000</v>
      </c>
      <c r="I91" s="55">
        <f t="shared" si="44"/>
        <v>0</v>
      </c>
      <c r="J91" s="51">
        <f t="shared" si="44"/>
        <v>2618422</v>
      </c>
      <c r="K91" s="51">
        <f t="shared" si="44"/>
        <v>2618422</v>
      </c>
      <c r="L91" s="99">
        <f t="shared" si="44"/>
        <v>2618422</v>
      </c>
      <c r="M91" s="53">
        <f t="shared" si="44"/>
        <v>0</v>
      </c>
      <c r="N91" s="53">
        <f t="shared" si="44"/>
        <v>0</v>
      </c>
      <c r="O91" s="55">
        <f t="shared" si="44"/>
        <v>0</v>
      </c>
      <c r="P91" s="51">
        <f t="shared" si="44"/>
        <v>52368422</v>
      </c>
      <c r="Q91" s="51">
        <f t="shared" si="44"/>
        <v>0</v>
      </c>
    </row>
    <row r="92" spans="1:18" ht="15" customHeight="1" x14ac:dyDescent="0.2">
      <c r="A92" s="14" t="s">
        <v>267</v>
      </c>
      <c r="B92" s="25" t="s">
        <v>197</v>
      </c>
      <c r="C92" s="15" t="s">
        <v>277</v>
      </c>
      <c r="D92" s="103"/>
      <c r="E92" s="50">
        <f>F92+G92+H92+I92</f>
        <v>24000000</v>
      </c>
      <c r="F92" s="73">
        <v>0</v>
      </c>
      <c r="G92" s="74"/>
      <c r="H92" s="74">
        <v>24000000</v>
      </c>
      <c r="I92" s="75">
        <v>0</v>
      </c>
      <c r="J92" s="50">
        <f>K92+O92</f>
        <v>1263158</v>
      </c>
      <c r="K92" s="50">
        <f>L92+M92+N92</f>
        <v>1263158</v>
      </c>
      <c r="L92" s="73">
        <v>1263158</v>
      </c>
      <c r="M92" s="74">
        <v>0</v>
      </c>
      <c r="N92" s="74">
        <v>0</v>
      </c>
      <c r="O92" s="75">
        <v>0</v>
      </c>
      <c r="P92" s="50">
        <f>E92+J92</f>
        <v>25263158</v>
      </c>
      <c r="Q92" s="76">
        <v>0</v>
      </c>
    </row>
    <row r="93" spans="1:18" ht="15" customHeight="1" x14ac:dyDescent="0.2">
      <c r="A93" s="14" t="s">
        <v>268</v>
      </c>
      <c r="B93" s="25" t="s">
        <v>185</v>
      </c>
      <c r="C93" s="15" t="s">
        <v>278</v>
      </c>
      <c r="D93" s="103"/>
      <c r="E93" s="50">
        <f>F93+G93+H93+I93</f>
        <v>25750000</v>
      </c>
      <c r="F93" s="73">
        <v>0</v>
      </c>
      <c r="G93" s="74"/>
      <c r="H93" s="74">
        <v>25750000</v>
      </c>
      <c r="I93" s="75">
        <v>0</v>
      </c>
      <c r="J93" s="50">
        <f>K93+O93</f>
        <v>1355264</v>
      </c>
      <c r="K93" s="50">
        <f>L93+M93+N93</f>
        <v>1355264</v>
      </c>
      <c r="L93" s="73">
        <v>1355264</v>
      </c>
      <c r="M93" s="74">
        <v>0</v>
      </c>
      <c r="N93" s="74">
        <v>0</v>
      </c>
      <c r="O93" s="75">
        <v>0</v>
      </c>
      <c r="P93" s="50">
        <f>E93+J93</f>
        <v>27105264</v>
      </c>
      <c r="Q93" s="76">
        <v>0</v>
      </c>
    </row>
    <row r="94" spans="1:18" ht="15" customHeight="1" x14ac:dyDescent="0.2">
      <c r="A94" s="61" t="s">
        <v>173</v>
      </c>
      <c r="B94" s="62"/>
      <c r="C94" s="63" t="s">
        <v>174</v>
      </c>
      <c r="D94" s="103"/>
      <c r="E94" s="67">
        <f t="shared" ref="E94:F94" si="45">E39+E76+E91</f>
        <v>497393865</v>
      </c>
      <c r="F94" s="67">
        <f t="shared" si="45"/>
        <v>0</v>
      </c>
      <c r="G94" s="67">
        <f>G39+G76+G91</f>
        <v>0</v>
      </c>
      <c r="H94" s="67">
        <f>H39+H76+H91</f>
        <v>497393865</v>
      </c>
      <c r="I94" s="67">
        <f t="shared" ref="I94:Q94" si="46">I39+I76+I91</f>
        <v>0</v>
      </c>
      <c r="J94" s="67">
        <f t="shared" si="46"/>
        <v>81614398</v>
      </c>
      <c r="K94" s="67">
        <f t="shared" si="46"/>
        <v>74296580</v>
      </c>
      <c r="L94" s="67">
        <f t="shared" si="46"/>
        <v>37280264</v>
      </c>
      <c r="M94" s="67">
        <f t="shared" si="46"/>
        <v>26748021</v>
      </c>
      <c r="N94" s="67">
        <f t="shared" si="46"/>
        <v>10268295</v>
      </c>
      <c r="O94" s="67">
        <f t="shared" si="46"/>
        <v>7317818</v>
      </c>
      <c r="P94" s="67">
        <f t="shared" si="46"/>
        <v>579008263</v>
      </c>
      <c r="Q94" s="67">
        <f t="shared" si="46"/>
        <v>0</v>
      </c>
    </row>
    <row r="95" spans="1:18" ht="15" customHeight="1" x14ac:dyDescent="0.2">
      <c r="A95" s="61" t="s">
        <v>173</v>
      </c>
      <c r="B95" s="62"/>
      <c r="C95" s="63" t="s">
        <v>175</v>
      </c>
      <c r="D95" s="103"/>
      <c r="E95" s="67">
        <f t="shared" ref="E95:F95" si="47">E7+E14+E32+E36+E61+E74+E78+E80+E82+E84+E89</f>
        <v>1254414458</v>
      </c>
      <c r="F95" s="67">
        <f t="shared" si="47"/>
        <v>0</v>
      </c>
      <c r="G95" s="67">
        <f>G7+G14+G32+G36+G61+G74+G78+G80+G82+G84+G89</f>
        <v>1254414458</v>
      </c>
      <c r="H95" s="67">
        <f>H7+H14+H32+H36+H61+H74+H78+H80+H82+H84+H89</f>
        <v>0</v>
      </c>
      <c r="I95" s="67">
        <f t="shared" ref="I95:Q95" si="48">I7+I14+I32+I36+I61+I74+I78+I80+I82+I84+I89</f>
        <v>0</v>
      </c>
      <c r="J95" s="67">
        <f t="shared" si="48"/>
        <v>99322986.599999994</v>
      </c>
      <c r="K95" s="67">
        <f t="shared" si="48"/>
        <v>89956763</v>
      </c>
      <c r="L95" s="67">
        <f t="shared" si="48"/>
        <v>27102885</v>
      </c>
      <c r="M95" s="67">
        <f t="shared" si="48"/>
        <v>8832554</v>
      </c>
      <c r="N95" s="67">
        <f t="shared" si="48"/>
        <v>54021324</v>
      </c>
      <c r="O95" s="67">
        <f t="shared" si="48"/>
        <v>9366223.5999999996</v>
      </c>
      <c r="P95" s="67">
        <f t="shared" si="48"/>
        <v>1353737444.5999999</v>
      </c>
      <c r="Q95" s="67">
        <f t="shared" si="48"/>
        <v>0</v>
      </c>
    </row>
    <row r="96" spans="1:18" ht="15" customHeight="1" thickBot="1" x14ac:dyDescent="0.25">
      <c r="A96" s="64" t="s">
        <v>173</v>
      </c>
      <c r="B96" s="65"/>
      <c r="C96" s="66" t="s">
        <v>176</v>
      </c>
      <c r="D96" s="104"/>
      <c r="E96" s="68">
        <f>E94+E95</f>
        <v>1751808323</v>
      </c>
      <c r="F96" s="69">
        <f t="shared" ref="F96:Q96" si="49">F94+F95</f>
        <v>0</v>
      </c>
      <c r="G96" s="70">
        <f t="shared" si="49"/>
        <v>1254414458</v>
      </c>
      <c r="H96" s="70">
        <f t="shared" si="49"/>
        <v>497393865</v>
      </c>
      <c r="I96" s="71">
        <f t="shared" si="49"/>
        <v>0</v>
      </c>
      <c r="J96" s="68">
        <f t="shared" si="49"/>
        <v>180937384.59999999</v>
      </c>
      <c r="K96" s="68">
        <f t="shared" si="49"/>
        <v>164253343</v>
      </c>
      <c r="L96" s="69">
        <f t="shared" si="49"/>
        <v>64383149</v>
      </c>
      <c r="M96" s="70">
        <f t="shared" si="49"/>
        <v>35580575</v>
      </c>
      <c r="N96" s="70">
        <f t="shared" si="49"/>
        <v>64289619</v>
      </c>
      <c r="O96" s="71">
        <f t="shared" si="49"/>
        <v>16684041.6</v>
      </c>
      <c r="P96" s="68">
        <f t="shared" si="49"/>
        <v>1932745707.5999999</v>
      </c>
      <c r="Q96" s="72">
        <f t="shared" si="49"/>
        <v>0</v>
      </c>
    </row>
    <row r="97" spans="5:11" ht="15" customHeight="1" x14ac:dyDescent="0.2">
      <c r="E97" s="31">
        <v>1751808323</v>
      </c>
    </row>
    <row r="98" spans="5:11" ht="15" customHeight="1" x14ac:dyDescent="0.2">
      <c r="E98" s="105">
        <f>E96-E97</f>
        <v>0</v>
      </c>
      <c r="K98" s="31"/>
    </row>
    <row r="99" spans="5:11" ht="15" customHeight="1" x14ac:dyDescent="0.2"/>
    <row r="100" spans="5:11" ht="15" customHeight="1" x14ac:dyDescent="0.2"/>
    <row r="101" spans="5:11" ht="15" customHeight="1" x14ac:dyDescent="0.2"/>
    <row r="102" spans="5:11" ht="15" customHeight="1" x14ac:dyDescent="0.2"/>
    <row r="103" spans="5:11" ht="15" customHeight="1" x14ac:dyDescent="0.2"/>
    <row r="104" spans="5:11" ht="15" customHeight="1" x14ac:dyDescent="0.2"/>
    <row r="105" spans="5:11" ht="15" customHeight="1" x14ac:dyDescent="0.2"/>
    <row r="106" spans="5:11" ht="15" customHeight="1" x14ac:dyDescent="0.2"/>
  </sheetData>
  <autoFilter ref="A6:Q96" xr:uid="{9051E387-9EDD-42CA-AB31-C376CF068DAB}"/>
  <mergeCells count="9">
    <mergeCell ref="N1:Q1"/>
    <mergeCell ref="K2:N2"/>
    <mergeCell ref="E2:I2"/>
    <mergeCell ref="A2:A5"/>
    <mergeCell ref="C2:C5"/>
    <mergeCell ref="O2:O3"/>
    <mergeCell ref="P2:P3"/>
    <mergeCell ref="Q2:Q3"/>
    <mergeCell ref="B2:B5"/>
  </mergeCells>
  <pageMargins left="0.25" right="0.25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C6D3B-9B79-4853-8252-7CBC7F157660}">
  <dimension ref="A1:T166"/>
  <sheetViews>
    <sheetView zoomScaleNormal="100" zoomScaleSheetLayoutView="80" workbookViewId="0">
      <selection activeCell="D1" sqref="D1:F1"/>
    </sheetView>
  </sheetViews>
  <sheetFormatPr defaultRowHeight="10.199999999999999" x14ac:dyDescent="0.2"/>
  <cols>
    <col min="1" max="1" width="10.44140625" style="30" bestFit="1" customWidth="1"/>
    <col min="2" max="2" width="6.77734375" style="30" bestFit="1" customWidth="1"/>
    <col min="3" max="3" width="10.88671875" style="84" customWidth="1"/>
    <col min="4" max="4" width="9.44140625" style="84" bestFit="1" customWidth="1"/>
    <col min="5" max="5" width="8.77734375" style="84" bestFit="1" customWidth="1"/>
    <col min="6" max="6" width="12" style="31" customWidth="1"/>
    <col min="7" max="7" width="11.33203125" style="47" customWidth="1"/>
    <col min="8" max="8" width="5.33203125" style="31" customWidth="1"/>
    <col min="9" max="9" width="10.109375" style="31" customWidth="1"/>
    <col min="10" max="10" width="8.109375" style="31" customWidth="1"/>
    <col min="11" max="11" width="13.88671875" style="31" customWidth="1"/>
    <col min="12" max="13" width="8.88671875" style="31"/>
    <col min="14" max="14" width="9" style="31" customWidth="1"/>
    <col min="15" max="19" width="8.88671875" style="31"/>
    <col min="20" max="16384" width="8.88671875" style="2"/>
  </cols>
  <sheetData>
    <row r="1" spans="1:19" ht="49.2" customHeight="1" x14ac:dyDescent="0.2">
      <c r="D1" s="122"/>
      <c r="E1" s="123"/>
      <c r="F1" s="123"/>
    </row>
    <row r="2" spans="1:19" s="35" customFormat="1" ht="26.4" customHeight="1" x14ac:dyDescent="0.15">
      <c r="A2" s="33" t="s">
        <v>203</v>
      </c>
      <c r="B2" s="33" t="s">
        <v>204</v>
      </c>
      <c r="C2" s="92" t="s">
        <v>205</v>
      </c>
      <c r="D2" s="92" t="s">
        <v>206</v>
      </c>
      <c r="E2" s="92" t="s">
        <v>207</v>
      </c>
      <c r="F2" s="93" t="s">
        <v>208</v>
      </c>
      <c r="G2" s="45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s="38" customFormat="1" ht="9" x14ac:dyDescent="0.3">
      <c r="A3" s="36" t="s">
        <v>209</v>
      </c>
      <c r="B3" s="36" t="s">
        <v>209</v>
      </c>
      <c r="C3" s="85" t="s">
        <v>209</v>
      </c>
      <c r="D3" s="85" t="s">
        <v>209</v>
      </c>
      <c r="E3" s="85" t="s">
        <v>210</v>
      </c>
      <c r="F3" s="86" t="s">
        <v>211</v>
      </c>
      <c r="G3" s="46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6.6" customHeight="1" x14ac:dyDescent="0.2">
      <c r="A4" s="39"/>
      <c r="B4" s="39"/>
      <c r="C4" s="78"/>
      <c r="D4" s="78"/>
      <c r="E4" s="78"/>
      <c r="F4" s="79"/>
      <c r="H4" s="37"/>
    </row>
    <row r="5" spans="1:19" ht="10.95" customHeight="1" x14ac:dyDescent="0.2">
      <c r="A5" s="124" t="s">
        <v>33</v>
      </c>
      <c r="B5" s="125">
        <v>1</v>
      </c>
      <c r="C5" s="127" t="s">
        <v>75</v>
      </c>
      <c r="D5" s="78" t="s">
        <v>193</v>
      </c>
      <c r="E5" s="42" t="s">
        <v>212</v>
      </c>
      <c r="F5" s="79">
        <v>4689902</v>
      </c>
      <c r="H5" s="37"/>
    </row>
    <row r="6" spans="1:19" ht="10.95" customHeight="1" x14ac:dyDescent="0.2">
      <c r="A6" s="124"/>
      <c r="B6" s="125"/>
      <c r="C6" s="128"/>
      <c r="D6" s="78" t="s">
        <v>193</v>
      </c>
      <c r="E6" s="42" t="s">
        <v>213</v>
      </c>
      <c r="F6" s="79">
        <v>10021163</v>
      </c>
      <c r="H6" s="37"/>
    </row>
    <row r="7" spans="1:19" ht="10.95" customHeight="1" x14ac:dyDescent="0.2">
      <c r="A7" s="124"/>
      <c r="B7" s="125"/>
      <c r="C7" s="128"/>
      <c r="D7" s="78" t="s">
        <v>193</v>
      </c>
      <c r="E7" s="42" t="s">
        <v>214</v>
      </c>
      <c r="F7" s="79">
        <v>1592164</v>
      </c>
      <c r="H7" s="37"/>
    </row>
    <row r="8" spans="1:19" ht="10.95" customHeight="1" x14ac:dyDescent="0.2">
      <c r="A8" s="124"/>
      <c r="B8" s="125"/>
      <c r="C8" s="128"/>
      <c r="D8" s="78" t="s">
        <v>193</v>
      </c>
      <c r="E8" s="42" t="s">
        <v>215</v>
      </c>
      <c r="F8" s="79">
        <v>2004232</v>
      </c>
    </row>
    <row r="9" spans="1:19" ht="10.95" customHeight="1" x14ac:dyDescent="0.2">
      <c r="A9" s="124"/>
      <c r="B9" s="125"/>
      <c r="C9" s="128"/>
      <c r="D9" s="78" t="s">
        <v>193</v>
      </c>
      <c r="E9" s="42" t="s">
        <v>216</v>
      </c>
      <c r="F9" s="79">
        <v>4810156</v>
      </c>
    </row>
    <row r="10" spans="1:19" ht="10.95" customHeight="1" x14ac:dyDescent="0.2">
      <c r="A10" s="124"/>
      <c r="B10" s="125"/>
      <c r="C10" s="128"/>
      <c r="D10" s="78" t="s">
        <v>193</v>
      </c>
      <c r="E10" s="42" t="s">
        <v>217</v>
      </c>
      <c r="F10" s="79">
        <v>1202538</v>
      </c>
    </row>
    <row r="11" spans="1:19" ht="10.95" customHeight="1" x14ac:dyDescent="0.2">
      <c r="A11" s="124"/>
      <c r="B11" s="125"/>
      <c r="C11" s="128"/>
      <c r="D11" s="78" t="s">
        <v>193</v>
      </c>
      <c r="E11" s="42" t="s">
        <v>218</v>
      </c>
      <c r="F11" s="79">
        <v>4008464</v>
      </c>
    </row>
    <row r="12" spans="1:19" ht="10.95" customHeight="1" x14ac:dyDescent="0.2">
      <c r="A12" s="124"/>
      <c r="B12" s="125"/>
      <c r="C12" s="128"/>
      <c r="D12" s="78" t="s">
        <v>193</v>
      </c>
      <c r="E12" s="42" t="s">
        <v>219</v>
      </c>
      <c r="F12" s="79">
        <v>9620314</v>
      </c>
    </row>
    <row r="13" spans="1:19" ht="10.95" customHeight="1" x14ac:dyDescent="0.2">
      <c r="A13" s="124"/>
      <c r="B13" s="125"/>
      <c r="C13" s="129"/>
      <c r="D13" s="78" t="s">
        <v>193</v>
      </c>
      <c r="E13" s="42" t="s">
        <v>220</v>
      </c>
      <c r="F13" s="79">
        <v>2405078</v>
      </c>
    </row>
    <row r="14" spans="1:19" ht="10.95" customHeight="1" x14ac:dyDescent="0.2">
      <c r="A14" s="124"/>
      <c r="B14" s="125"/>
      <c r="C14" s="127" t="s">
        <v>76</v>
      </c>
      <c r="D14" s="78" t="s">
        <v>193</v>
      </c>
      <c r="E14" s="42" t="s">
        <v>212</v>
      </c>
      <c r="F14" s="40">
        <v>1775935</v>
      </c>
    </row>
    <row r="15" spans="1:19" ht="10.95" customHeight="1" x14ac:dyDescent="0.2">
      <c r="A15" s="124"/>
      <c r="B15" s="125"/>
      <c r="C15" s="128"/>
      <c r="D15" s="78" t="s">
        <v>193</v>
      </c>
      <c r="E15" s="42" t="s">
        <v>213</v>
      </c>
      <c r="F15" s="40">
        <v>3794734</v>
      </c>
    </row>
    <row r="16" spans="1:19" ht="10.95" customHeight="1" x14ac:dyDescent="0.2">
      <c r="A16" s="124"/>
      <c r="B16" s="125"/>
      <c r="C16" s="128"/>
      <c r="D16" s="78" t="s">
        <v>193</v>
      </c>
      <c r="E16" s="42" t="s">
        <v>214</v>
      </c>
      <c r="F16" s="40">
        <v>602908</v>
      </c>
    </row>
    <row r="17" spans="1:10" ht="10.95" customHeight="1" x14ac:dyDescent="0.2">
      <c r="A17" s="124"/>
      <c r="B17" s="125"/>
      <c r="C17" s="128"/>
      <c r="D17" s="78" t="s">
        <v>193</v>
      </c>
      <c r="E17" s="42" t="s">
        <v>215</v>
      </c>
      <c r="F17" s="40">
        <v>758946</v>
      </c>
    </row>
    <row r="18" spans="1:10" ht="10.95" customHeight="1" x14ac:dyDescent="0.2">
      <c r="A18" s="124"/>
      <c r="B18" s="125"/>
      <c r="C18" s="128"/>
      <c r="D18" s="78" t="s">
        <v>193</v>
      </c>
      <c r="E18" s="42" t="s">
        <v>216</v>
      </c>
      <c r="F18" s="40">
        <v>1821472</v>
      </c>
    </row>
    <row r="19" spans="1:10" ht="10.95" customHeight="1" x14ac:dyDescent="0.2">
      <c r="A19" s="124"/>
      <c r="B19" s="125"/>
      <c r="C19" s="128"/>
      <c r="D19" s="78" t="s">
        <v>193</v>
      </c>
      <c r="E19" s="42" t="s">
        <v>217</v>
      </c>
      <c r="F19" s="40">
        <v>455368</v>
      </c>
    </row>
    <row r="20" spans="1:10" ht="10.95" customHeight="1" x14ac:dyDescent="0.2">
      <c r="A20" s="124"/>
      <c r="B20" s="125"/>
      <c r="C20" s="128"/>
      <c r="D20" s="78" t="s">
        <v>193</v>
      </c>
      <c r="E20" s="42" t="s">
        <v>218</v>
      </c>
      <c r="F20" s="40">
        <v>1517893</v>
      </c>
    </row>
    <row r="21" spans="1:10" ht="10.95" customHeight="1" x14ac:dyDescent="0.2">
      <c r="A21" s="124"/>
      <c r="B21" s="125"/>
      <c r="C21" s="128"/>
      <c r="D21" s="78" t="s">
        <v>193</v>
      </c>
      <c r="E21" s="42" t="s">
        <v>219</v>
      </c>
      <c r="F21" s="40">
        <v>3642943</v>
      </c>
    </row>
    <row r="22" spans="1:10" ht="10.95" customHeight="1" x14ac:dyDescent="0.2">
      <c r="A22" s="124"/>
      <c r="B22" s="125"/>
      <c r="C22" s="129"/>
      <c r="D22" s="78" t="s">
        <v>193</v>
      </c>
      <c r="E22" s="42" t="s">
        <v>220</v>
      </c>
      <c r="F22" s="40">
        <v>910736</v>
      </c>
    </row>
    <row r="23" spans="1:10" ht="10.95" customHeight="1" x14ac:dyDescent="0.2">
      <c r="A23" s="124"/>
      <c r="B23" s="125"/>
      <c r="C23" s="127" t="s">
        <v>77</v>
      </c>
      <c r="D23" s="78" t="s">
        <v>193</v>
      </c>
      <c r="E23" s="42" t="s">
        <v>254</v>
      </c>
      <c r="F23" s="40">
        <v>401516</v>
      </c>
    </row>
    <row r="24" spans="1:10" ht="10.95" customHeight="1" x14ac:dyDescent="0.2">
      <c r="A24" s="124"/>
      <c r="B24" s="125"/>
      <c r="C24" s="129"/>
      <c r="D24" s="78" t="s">
        <v>193</v>
      </c>
      <c r="E24" s="42" t="s">
        <v>255</v>
      </c>
      <c r="F24" s="40">
        <v>0</v>
      </c>
    </row>
    <row r="25" spans="1:10" ht="10.95" customHeight="1" x14ac:dyDescent="0.2">
      <c r="A25" s="124"/>
      <c r="B25" s="125"/>
      <c r="C25" s="127" t="s">
        <v>78</v>
      </c>
      <c r="D25" s="78" t="s">
        <v>251</v>
      </c>
      <c r="E25" s="42" t="s">
        <v>252</v>
      </c>
      <c r="F25" s="40">
        <v>4605068</v>
      </c>
    </row>
    <row r="26" spans="1:10" ht="10.95" customHeight="1" x14ac:dyDescent="0.2">
      <c r="A26" s="124"/>
      <c r="B26" s="125"/>
      <c r="C26" s="128"/>
      <c r="D26" s="78" t="s">
        <v>251</v>
      </c>
      <c r="E26" s="42" t="s">
        <v>253</v>
      </c>
      <c r="F26" s="40">
        <v>0</v>
      </c>
    </row>
    <row r="27" spans="1:10" ht="10.95" customHeight="1" x14ac:dyDescent="0.2">
      <c r="A27" s="124"/>
      <c r="B27" s="125"/>
      <c r="C27" s="129"/>
      <c r="D27" s="78" t="s">
        <v>251</v>
      </c>
      <c r="E27" s="42">
        <v>172</v>
      </c>
      <c r="F27" s="40">
        <v>0</v>
      </c>
    </row>
    <row r="28" spans="1:10" ht="10.95" customHeight="1" x14ac:dyDescent="0.2">
      <c r="A28" s="124"/>
      <c r="B28" s="125"/>
      <c r="C28" s="127" t="s">
        <v>79</v>
      </c>
      <c r="D28" s="78" t="s">
        <v>194</v>
      </c>
      <c r="E28" s="42" t="s">
        <v>221</v>
      </c>
      <c r="F28" s="40">
        <v>31680815</v>
      </c>
      <c r="J28" s="41"/>
    </row>
    <row r="29" spans="1:10" ht="10.95" customHeight="1" x14ac:dyDescent="0.2">
      <c r="A29" s="124"/>
      <c r="B29" s="125"/>
      <c r="C29" s="128"/>
      <c r="D29" s="78" t="s">
        <v>194</v>
      </c>
      <c r="E29" s="42" t="s">
        <v>222</v>
      </c>
      <c r="F29" s="79">
        <v>16755913</v>
      </c>
      <c r="J29" s="41"/>
    </row>
    <row r="30" spans="1:10" ht="10.95" customHeight="1" x14ac:dyDescent="0.2">
      <c r="A30" s="124"/>
      <c r="B30" s="125"/>
      <c r="C30" s="128"/>
      <c r="D30" s="78" t="s">
        <v>194</v>
      </c>
      <c r="E30" s="42" t="s">
        <v>223</v>
      </c>
      <c r="F30" s="79">
        <v>6363696</v>
      </c>
      <c r="J30" s="41"/>
    </row>
    <row r="31" spans="1:10" ht="10.95" customHeight="1" x14ac:dyDescent="0.2">
      <c r="A31" s="124"/>
      <c r="B31" s="125"/>
      <c r="C31" s="127" t="s">
        <v>80</v>
      </c>
      <c r="D31" s="78" t="s">
        <v>194</v>
      </c>
      <c r="E31" s="42" t="s">
        <v>224</v>
      </c>
      <c r="F31" s="79">
        <v>7149362</v>
      </c>
    </row>
    <row r="32" spans="1:10" ht="10.95" customHeight="1" x14ac:dyDescent="0.2">
      <c r="A32" s="124"/>
      <c r="B32" s="125"/>
      <c r="C32" s="129"/>
      <c r="D32" s="78" t="s">
        <v>194</v>
      </c>
      <c r="E32" s="42" t="s">
        <v>222</v>
      </c>
      <c r="F32" s="79">
        <v>28597449</v>
      </c>
      <c r="G32" s="90">
        <f>SUM(F5:F32)</f>
        <v>151188765</v>
      </c>
      <c r="H32" s="91"/>
    </row>
    <row r="33" spans="1:20" ht="10.95" customHeight="1" x14ac:dyDescent="0.2">
      <c r="A33" s="131" t="s">
        <v>34</v>
      </c>
      <c r="B33" s="134">
        <v>2</v>
      </c>
      <c r="C33" s="127" t="s">
        <v>81</v>
      </c>
      <c r="D33" s="78" t="s">
        <v>189</v>
      </c>
      <c r="E33" s="42" t="s">
        <v>225</v>
      </c>
      <c r="F33" s="40">
        <v>1855738</v>
      </c>
    </row>
    <row r="34" spans="1:20" ht="10.95" customHeight="1" x14ac:dyDescent="0.2">
      <c r="A34" s="132"/>
      <c r="B34" s="135"/>
      <c r="C34" s="128"/>
      <c r="D34" s="78" t="s">
        <v>189</v>
      </c>
      <c r="E34" s="94" t="s">
        <v>226</v>
      </c>
      <c r="F34" s="96">
        <v>2181001</v>
      </c>
    </row>
    <row r="35" spans="1:20" ht="10.95" customHeight="1" x14ac:dyDescent="0.2">
      <c r="A35" s="132"/>
      <c r="B35" s="135"/>
      <c r="C35" s="128"/>
      <c r="D35" s="78" t="s">
        <v>189</v>
      </c>
      <c r="E35" s="42" t="s">
        <v>227</v>
      </c>
      <c r="F35" s="40">
        <v>5159676</v>
      </c>
    </row>
    <row r="36" spans="1:20" ht="10.95" customHeight="1" x14ac:dyDescent="0.2">
      <c r="A36" s="132"/>
      <c r="B36" s="135"/>
      <c r="C36" s="128"/>
      <c r="D36" s="78" t="s">
        <v>189</v>
      </c>
      <c r="E36" s="43" t="s">
        <v>228</v>
      </c>
      <c r="F36" s="40">
        <v>0</v>
      </c>
    </row>
    <row r="37" spans="1:20" s="31" customFormat="1" ht="10.95" customHeight="1" x14ac:dyDescent="0.2">
      <c r="A37" s="132"/>
      <c r="B37" s="135"/>
      <c r="C37" s="129"/>
      <c r="D37" s="78" t="s">
        <v>189</v>
      </c>
      <c r="E37" s="42" t="s">
        <v>229</v>
      </c>
      <c r="F37" s="40">
        <v>1000000</v>
      </c>
      <c r="G37" s="47"/>
      <c r="T37" s="2"/>
    </row>
    <row r="38" spans="1:20" s="31" customFormat="1" ht="10.95" customHeight="1" x14ac:dyDescent="0.2">
      <c r="A38" s="132"/>
      <c r="B38" s="135"/>
      <c r="C38" s="137" t="s">
        <v>82</v>
      </c>
      <c r="D38" s="78" t="s">
        <v>189</v>
      </c>
      <c r="E38" s="42" t="s">
        <v>225</v>
      </c>
      <c r="F38" s="40">
        <v>10358729</v>
      </c>
      <c r="G38" s="47"/>
      <c r="T38" s="2"/>
    </row>
    <row r="39" spans="1:20" s="31" customFormat="1" ht="10.95" customHeight="1" x14ac:dyDescent="0.2">
      <c r="A39" s="132"/>
      <c r="B39" s="135"/>
      <c r="C39" s="138"/>
      <c r="D39" s="78" t="s">
        <v>189</v>
      </c>
      <c r="E39" s="42" t="s">
        <v>226</v>
      </c>
      <c r="F39" s="40">
        <v>12174344</v>
      </c>
      <c r="G39" s="47"/>
      <c r="T39" s="2"/>
    </row>
    <row r="40" spans="1:20" s="31" customFormat="1" ht="10.95" customHeight="1" x14ac:dyDescent="0.2">
      <c r="A40" s="132"/>
      <c r="B40" s="135"/>
      <c r="C40" s="138"/>
      <c r="D40" s="78" t="s">
        <v>189</v>
      </c>
      <c r="E40" s="42" t="s">
        <v>227</v>
      </c>
      <c r="F40" s="40">
        <v>28801301</v>
      </c>
      <c r="G40" s="47"/>
      <c r="T40" s="2"/>
    </row>
    <row r="41" spans="1:20" s="31" customFormat="1" ht="10.95" customHeight="1" x14ac:dyDescent="0.2">
      <c r="A41" s="132"/>
      <c r="B41" s="135"/>
      <c r="C41" s="137" t="s">
        <v>83</v>
      </c>
      <c r="D41" s="78" t="s">
        <v>189</v>
      </c>
      <c r="E41" s="42" t="s">
        <v>225</v>
      </c>
      <c r="F41" s="40">
        <v>10729813</v>
      </c>
      <c r="G41" s="47"/>
    </row>
    <row r="42" spans="1:20" s="31" customFormat="1" ht="10.95" customHeight="1" x14ac:dyDescent="0.2">
      <c r="A42" s="132"/>
      <c r="B42" s="135"/>
      <c r="C42" s="138"/>
      <c r="D42" s="78" t="s">
        <v>189</v>
      </c>
      <c r="E42" s="42" t="s">
        <v>226</v>
      </c>
      <c r="F42" s="40">
        <v>12610470</v>
      </c>
      <c r="G42" s="47"/>
    </row>
    <row r="43" spans="1:20" s="31" customFormat="1" ht="10.95" customHeight="1" x14ac:dyDescent="0.2">
      <c r="A43" s="132"/>
      <c r="B43" s="135"/>
      <c r="C43" s="138"/>
      <c r="D43" s="78" t="s">
        <v>189</v>
      </c>
      <c r="E43" s="42" t="s">
        <v>227</v>
      </c>
      <c r="F43" s="40">
        <v>29833059</v>
      </c>
      <c r="G43" s="47"/>
    </row>
    <row r="44" spans="1:20" s="31" customFormat="1" ht="10.95" customHeight="1" x14ac:dyDescent="0.2">
      <c r="A44" s="132"/>
      <c r="B44" s="135"/>
      <c r="C44" s="127" t="s">
        <v>84</v>
      </c>
      <c r="D44" s="78" t="s">
        <v>189</v>
      </c>
      <c r="E44" s="42" t="s">
        <v>225</v>
      </c>
      <c r="F44" s="40">
        <v>2017893</v>
      </c>
      <c r="G44" s="47"/>
    </row>
    <row r="45" spans="1:20" s="31" customFormat="1" ht="10.95" customHeight="1" x14ac:dyDescent="0.2">
      <c r="A45" s="132"/>
      <c r="B45" s="135"/>
      <c r="C45" s="128"/>
      <c r="D45" s="78" t="s">
        <v>189</v>
      </c>
      <c r="E45" s="42" t="s">
        <v>226</v>
      </c>
      <c r="F45" s="40">
        <v>2371578</v>
      </c>
      <c r="G45" s="47"/>
    </row>
    <row r="46" spans="1:20" s="31" customFormat="1" ht="10.95" customHeight="1" x14ac:dyDescent="0.2">
      <c r="A46" s="132"/>
      <c r="B46" s="135"/>
      <c r="C46" s="129"/>
      <c r="D46" s="78" t="s">
        <v>189</v>
      </c>
      <c r="E46" s="42" t="s">
        <v>227</v>
      </c>
      <c r="F46" s="40">
        <v>5610529</v>
      </c>
      <c r="G46" s="47"/>
    </row>
    <row r="47" spans="1:20" s="31" customFormat="1" ht="10.95" customHeight="1" x14ac:dyDescent="0.2">
      <c r="A47" s="132"/>
      <c r="B47" s="135"/>
      <c r="C47" s="80" t="s">
        <v>85</v>
      </c>
      <c r="D47" s="78" t="s">
        <v>189</v>
      </c>
      <c r="E47" s="42" t="s">
        <v>225</v>
      </c>
      <c r="F47" s="40">
        <v>19365394</v>
      </c>
      <c r="G47" s="47"/>
      <c r="O47" s="32"/>
      <c r="P47" s="44"/>
      <c r="Q47" s="44"/>
    </row>
    <row r="48" spans="1:20" s="31" customFormat="1" ht="10.95" customHeight="1" x14ac:dyDescent="0.2">
      <c r="A48" s="132"/>
      <c r="B48" s="135"/>
      <c r="C48" s="127" t="s">
        <v>86</v>
      </c>
      <c r="D48" s="78" t="s">
        <v>190</v>
      </c>
      <c r="E48" s="42" t="s">
        <v>230</v>
      </c>
      <c r="F48" s="79">
        <v>0</v>
      </c>
      <c r="G48" s="47"/>
      <c r="O48" s="32"/>
      <c r="P48" s="44"/>
      <c r="Q48" s="44"/>
    </row>
    <row r="49" spans="1:19" s="31" customFormat="1" ht="10.95" customHeight="1" x14ac:dyDescent="0.2">
      <c r="A49" s="132"/>
      <c r="B49" s="135"/>
      <c r="C49" s="128"/>
      <c r="D49" s="78" t="s">
        <v>190</v>
      </c>
      <c r="E49" s="42" t="s">
        <v>231</v>
      </c>
      <c r="F49" s="79">
        <v>0</v>
      </c>
      <c r="G49" s="47"/>
      <c r="O49" s="32"/>
      <c r="P49" s="44"/>
      <c r="Q49" s="44"/>
    </row>
    <row r="50" spans="1:19" s="31" customFormat="1" ht="10.95" customHeight="1" x14ac:dyDescent="0.2">
      <c r="A50" s="132"/>
      <c r="B50" s="135"/>
      <c r="C50" s="128"/>
      <c r="D50" s="78" t="s">
        <v>190</v>
      </c>
      <c r="E50" s="42" t="s">
        <v>232</v>
      </c>
      <c r="F50" s="79">
        <v>0</v>
      </c>
      <c r="G50" s="47"/>
      <c r="O50" s="32"/>
      <c r="P50" s="44"/>
      <c r="Q50" s="44"/>
    </row>
    <row r="51" spans="1:19" s="31" customFormat="1" ht="10.95" customHeight="1" x14ac:dyDescent="0.2">
      <c r="A51" s="132"/>
      <c r="B51" s="135"/>
      <c r="C51" s="128"/>
      <c r="D51" s="78" t="s">
        <v>190</v>
      </c>
      <c r="E51" s="42" t="s">
        <v>233</v>
      </c>
      <c r="F51" s="79">
        <v>0</v>
      </c>
      <c r="G51" s="47"/>
      <c r="O51" s="32"/>
      <c r="P51" s="44"/>
      <c r="Q51" s="44"/>
    </row>
    <row r="52" spans="1:19" s="31" customFormat="1" ht="10.95" customHeight="1" x14ac:dyDescent="0.2">
      <c r="A52" s="132"/>
      <c r="B52" s="135"/>
      <c r="C52" s="128"/>
      <c r="D52" s="78" t="s">
        <v>190</v>
      </c>
      <c r="E52" s="94" t="s">
        <v>256</v>
      </c>
      <c r="F52" s="96">
        <v>0</v>
      </c>
      <c r="G52" s="47"/>
      <c r="O52" s="32"/>
      <c r="P52" s="44"/>
      <c r="Q52" s="44"/>
    </row>
    <row r="53" spans="1:19" s="31" customFormat="1" ht="10.95" customHeight="1" x14ac:dyDescent="0.2">
      <c r="A53" s="132"/>
      <c r="B53" s="135"/>
      <c r="C53" s="129"/>
      <c r="D53" s="78" t="s">
        <v>190</v>
      </c>
      <c r="E53" s="94">
        <v>172</v>
      </c>
      <c r="F53" s="96">
        <v>0</v>
      </c>
      <c r="G53" s="47"/>
      <c r="O53" s="32"/>
      <c r="P53" s="44"/>
      <c r="Q53" s="44"/>
    </row>
    <row r="54" spans="1:19" s="31" customFormat="1" ht="10.95" customHeight="1" x14ac:dyDescent="0.2">
      <c r="A54" s="132"/>
      <c r="B54" s="135"/>
      <c r="C54" s="127" t="s">
        <v>87</v>
      </c>
      <c r="D54" s="78" t="s">
        <v>190</v>
      </c>
      <c r="E54" s="78" t="s">
        <v>230</v>
      </c>
      <c r="F54" s="79">
        <v>1176470.4511358938</v>
      </c>
      <c r="G54" s="47"/>
    </row>
    <row r="55" spans="1:19" s="31" customFormat="1" ht="10.95" customHeight="1" x14ac:dyDescent="0.2">
      <c r="A55" s="132"/>
      <c r="B55" s="135"/>
      <c r="C55" s="128"/>
      <c r="D55" s="78" t="s">
        <v>190</v>
      </c>
      <c r="E55" s="78" t="s">
        <v>231</v>
      </c>
      <c r="F55" s="79">
        <v>4705882.6785522532</v>
      </c>
      <c r="G55" s="47"/>
    </row>
    <row r="56" spans="1:19" s="31" customFormat="1" ht="10.95" customHeight="1" x14ac:dyDescent="0.2">
      <c r="A56" s="132"/>
      <c r="B56" s="135"/>
      <c r="C56" s="128"/>
      <c r="D56" s="78" t="s">
        <v>190</v>
      </c>
      <c r="E56" s="78" t="s">
        <v>232</v>
      </c>
      <c r="F56" s="79">
        <v>2352941.1936080134</v>
      </c>
      <c r="G56" s="47"/>
    </row>
    <row r="57" spans="1:19" s="32" customFormat="1" ht="10.95" customHeight="1" x14ac:dyDescent="0.2">
      <c r="A57" s="132"/>
      <c r="B57" s="135"/>
      <c r="C57" s="129"/>
      <c r="D57" s="78" t="s">
        <v>190</v>
      </c>
      <c r="E57" s="78" t="s">
        <v>233</v>
      </c>
      <c r="F57" s="82">
        <v>1764705.6767038407</v>
      </c>
      <c r="G57" s="47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</row>
    <row r="58" spans="1:19" s="32" customFormat="1" ht="10.95" customHeight="1" x14ac:dyDescent="0.2">
      <c r="A58" s="132"/>
      <c r="B58" s="135"/>
      <c r="C58" s="127" t="s">
        <v>88</v>
      </c>
      <c r="D58" s="78" t="s">
        <v>190</v>
      </c>
      <c r="E58" s="42" t="s">
        <v>230</v>
      </c>
      <c r="F58" s="82">
        <v>2696025</v>
      </c>
      <c r="G58" s="47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</row>
    <row r="59" spans="1:19" s="32" customFormat="1" ht="10.95" customHeight="1" x14ac:dyDescent="0.2">
      <c r="A59" s="132"/>
      <c r="B59" s="135"/>
      <c r="C59" s="128"/>
      <c r="D59" s="78" t="s">
        <v>190</v>
      </c>
      <c r="E59" s="42" t="s">
        <v>231</v>
      </c>
      <c r="F59" s="82">
        <v>10784103</v>
      </c>
      <c r="G59" s="47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</row>
    <row r="60" spans="1:19" s="32" customFormat="1" ht="10.95" customHeight="1" x14ac:dyDescent="0.2">
      <c r="A60" s="132"/>
      <c r="B60" s="135"/>
      <c r="C60" s="128"/>
      <c r="D60" s="78" t="s">
        <v>190</v>
      </c>
      <c r="E60" s="42" t="s">
        <v>232</v>
      </c>
      <c r="F60" s="82">
        <v>5392052</v>
      </c>
      <c r="G60" s="47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1:19" s="32" customFormat="1" ht="10.95" customHeight="1" x14ac:dyDescent="0.2">
      <c r="A61" s="132"/>
      <c r="B61" s="135"/>
      <c r="C61" s="129"/>
      <c r="D61" s="78" t="s">
        <v>190</v>
      </c>
      <c r="E61" s="42" t="s">
        <v>233</v>
      </c>
      <c r="F61" s="82">
        <v>4044038</v>
      </c>
      <c r="G61" s="47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</row>
    <row r="62" spans="1:19" s="32" customFormat="1" ht="10.95" customHeight="1" x14ac:dyDescent="0.2">
      <c r="A62" s="132"/>
      <c r="B62" s="135"/>
      <c r="C62" s="137" t="s">
        <v>89</v>
      </c>
      <c r="D62" s="78" t="s">
        <v>191</v>
      </c>
      <c r="E62" s="42" t="s">
        <v>234</v>
      </c>
      <c r="F62" s="98">
        <v>6560194</v>
      </c>
      <c r="G62" s="47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</row>
    <row r="63" spans="1:19" s="32" customFormat="1" ht="10.95" customHeight="1" x14ac:dyDescent="0.2">
      <c r="A63" s="132"/>
      <c r="B63" s="135"/>
      <c r="C63" s="139"/>
      <c r="D63" s="78" t="s">
        <v>191</v>
      </c>
      <c r="E63" s="42" t="s">
        <v>235</v>
      </c>
      <c r="F63" s="98">
        <v>4720652</v>
      </c>
      <c r="G63" s="47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1:19" s="32" customFormat="1" ht="10.95" customHeight="1" x14ac:dyDescent="0.2">
      <c r="A64" s="132"/>
      <c r="B64" s="135"/>
      <c r="C64" s="137" t="s">
        <v>90</v>
      </c>
      <c r="D64" s="78" t="s">
        <v>191</v>
      </c>
      <c r="E64" s="42" t="s">
        <v>234</v>
      </c>
      <c r="F64" s="98">
        <v>6986450</v>
      </c>
      <c r="G64" s="47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</row>
    <row r="65" spans="1:19" s="32" customFormat="1" ht="10.95" customHeight="1" x14ac:dyDescent="0.2">
      <c r="A65" s="132"/>
      <c r="B65" s="135"/>
      <c r="C65" s="139"/>
      <c r="D65" s="78" t="s">
        <v>191</v>
      </c>
      <c r="E65" s="42" t="s">
        <v>235</v>
      </c>
      <c r="F65" s="98">
        <v>5027380</v>
      </c>
      <c r="G65" s="47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  <row r="66" spans="1:19" s="32" customFormat="1" ht="10.95" customHeight="1" x14ac:dyDescent="0.2">
      <c r="A66" s="132"/>
      <c r="B66" s="135"/>
      <c r="C66" s="137" t="s">
        <v>91</v>
      </c>
      <c r="D66" s="78" t="s">
        <v>191</v>
      </c>
      <c r="E66" s="42" t="s">
        <v>234</v>
      </c>
      <c r="F66" s="98">
        <v>10336090</v>
      </c>
      <c r="G66" s="47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  <row r="67" spans="1:19" s="32" customFormat="1" ht="10.95" customHeight="1" x14ac:dyDescent="0.2">
      <c r="A67" s="132"/>
      <c r="B67" s="135"/>
      <c r="C67" s="139"/>
      <c r="D67" s="78" t="s">
        <v>191</v>
      </c>
      <c r="E67" s="42" t="s">
        <v>235</v>
      </c>
      <c r="F67" s="98">
        <v>7437748</v>
      </c>
      <c r="G67" s="47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</row>
    <row r="68" spans="1:19" s="32" customFormat="1" ht="10.95" customHeight="1" x14ac:dyDescent="0.2">
      <c r="A68" s="132"/>
      <c r="B68" s="135"/>
      <c r="C68" s="127" t="s">
        <v>92</v>
      </c>
      <c r="D68" s="78" t="s">
        <v>183</v>
      </c>
      <c r="E68" s="42" t="s">
        <v>236</v>
      </c>
      <c r="F68" s="82">
        <v>6376087</v>
      </c>
      <c r="G68" s="47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</row>
    <row r="69" spans="1:19" s="32" customFormat="1" ht="10.95" customHeight="1" x14ac:dyDescent="0.2">
      <c r="A69" s="132"/>
      <c r="B69" s="135"/>
      <c r="C69" s="129"/>
      <c r="D69" s="78" t="s">
        <v>183</v>
      </c>
      <c r="E69" s="42" t="s">
        <v>237</v>
      </c>
      <c r="F69" s="82">
        <v>11273737</v>
      </c>
      <c r="G69" s="47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1:19" s="32" customFormat="1" ht="10.95" customHeight="1" x14ac:dyDescent="0.2">
      <c r="A70" s="132"/>
      <c r="B70" s="135"/>
      <c r="C70" s="80" t="s">
        <v>93</v>
      </c>
      <c r="D70" s="78" t="s">
        <v>184</v>
      </c>
      <c r="E70" s="42" t="s">
        <v>238</v>
      </c>
      <c r="F70" s="98">
        <v>18127709</v>
      </c>
      <c r="G70" s="47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1:19" s="32" customFormat="1" ht="10.95" customHeight="1" x14ac:dyDescent="0.2">
      <c r="A71" s="132"/>
      <c r="B71" s="135"/>
      <c r="C71" s="127" t="s">
        <v>94</v>
      </c>
      <c r="D71" s="83" t="s">
        <v>184</v>
      </c>
      <c r="E71" s="42" t="s">
        <v>239</v>
      </c>
      <c r="F71" s="82">
        <v>4850638</v>
      </c>
      <c r="G71" s="47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1:19" s="31" customFormat="1" ht="10.95" customHeight="1" x14ac:dyDescent="0.2">
      <c r="A72" s="132"/>
      <c r="B72" s="135"/>
      <c r="C72" s="129"/>
      <c r="D72" s="83" t="s">
        <v>184</v>
      </c>
      <c r="E72" s="42" t="s">
        <v>240</v>
      </c>
      <c r="F72" s="82">
        <v>14551913</v>
      </c>
      <c r="G72" s="47"/>
    </row>
    <row r="73" spans="1:19" s="31" customFormat="1" ht="10.95" customHeight="1" x14ac:dyDescent="0.2">
      <c r="A73" s="132"/>
      <c r="B73" s="135"/>
      <c r="C73" s="127" t="s">
        <v>95</v>
      </c>
      <c r="D73" s="78" t="s">
        <v>192</v>
      </c>
      <c r="E73" s="95" t="s">
        <v>237</v>
      </c>
      <c r="F73" s="97">
        <v>0</v>
      </c>
      <c r="G73" s="47"/>
      <c r="H73" s="44"/>
      <c r="J73" s="107"/>
    </row>
    <row r="74" spans="1:19" s="31" customFormat="1" ht="10.95" customHeight="1" x14ac:dyDescent="0.2">
      <c r="A74" s="132"/>
      <c r="B74" s="135"/>
      <c r="C74" s="128"/>
      <c r="D74" s="78" t="s">
        <v>192</v>
      </c>
      <c r="E74" s="42" t="s">
        <v>241</v>
      </c>
      <c r="F74" s="98">
        <v>862925</v>
      </c>
      <c r="G74" s="47"/>
      <c r="H74" s="44"/>
      <c r="I74" s="32"/>
      <c r="J74" s="107"/>
    </row>
    <row r="75" spans="1:19" s="31" customFormat="1" ht="10.95" customHeight="1" x14ac:dyDescent="0.2">
      <c r="A75" s="132"/>
      <c r="B75" s="135"/>
      <c r="C75" s="129"/>
      <c r="D75" s="78" t="s">
        <v>192</v>
      </c>
      <c r="E75" s="42" t="s">
        <v>242</v>
      </c>
      <c r="F75" s="98">
        <v>2799075</v>
      </c>
      <c r="G75" s="47"/>
      <c r="H75" s="44"/>
      <c r="I75" s="32"/>
    </row>
    <row r="76" spans="1:19" s="31" customFormat="1" ht="10.95" customHeight="1" x14ac:dyDescent="0.2">
      <c r="A76" s="132"/>
      <c r="B76" s="135"/>
      <c r="C76" s="127" t="s">
        <v>96</v>
      </c>
      <c r="D76" s="78" t="s">
        <v>192</v>
      </c>
      <c r="E76" s="42" t="s">
        <v>237</v>
      </c>
      <c r="F76" s="98">
        <v>1000000</v>
      </c>
      <c r="G76" s="47"/>
    </row>
    <row r="77" spans="1:19" s="31" customFormat="1" ht="10.95" customHeight="1" x14ac:dyDescent="0.2">
      <c r="A77" s="132"/>
      <c r="B77" s="135"/>
      <c r="C77" s="128"/>
      <c r="D77" s="78" t="s">
        <v>192</v>
      </c>
      <c r="E77" s="42" t="s">
        <v>241</v>
      </c>
      <c r="F77" s="98">
        <v>758512</v>
      </c>
      <c r="G77" s="47"/>
      <c r="J77" s="107"/>
    </row>
    <row r="78" spans="1:19" s="31" customFormat="1" ht="10.95" customHeight="1" x14ac:dyDescent="0.2">
      <c r="A78" s="132"/>
      <c r="B78" s="135"/>
      <c r="C78" s="129"/>
      <c r="D78" s="78" t="s">
        <v>192</v>
      </c>
      <c r="E78" s="42" t="s">
        <v>242</v>
      </c>
      <c r="F78" s="40">
        <v>2460389</v>
      </c>
      <c r="G78" s="47"/>
      <c r="J78" s="107"/>
    </row>
    <row r="79" spans="1:19" s="31" customFormat="1" ht="10.95" customHeight="1" x14ac:dyDescent="0.2">
      <c r="A79" s="132"/>
      <c r="B79" s="135"/>
      <c r="C79" s="127" t="s">
        <v>97</v>
      </c>
      <c r="D79" s="78" t="s">
        <v>192</v>
      </c>
      <c r="E79" s="94" t="s">
        <v>237</v>
      </c>
      <c r="F79" s="97">
        <v>0</v>
      </c>
      <c r="G79" s="47"/>
      <c r="J79" s="107"/>
    </row>
    <row r="80" spans="1:19" s="31" customFormat="1" ht="10.95" customHeight="1" x14ac:dyDescent="0.2">
      <c r="A80" s="132"/>
      <c r="B80" s="135"/>
      <c r="C80" s="128"/>
      <c r="D80" s="78" t="s">
        <v>192</v>
      </c>
      <c r="E80" s="42" t="s">
        <v>241</v>
      </c>
      <c r="F80" s="98">
        <v>1178215</v>
      </c>
      <c r="G80" s="47"/>
    </row>
    <row r="81" spans="1:8" s="31" customFormat="1" ht="10.95" customHeight="1" x14ac:dyDescent="0.2">
      <c r="A81" s="133"/>
      <c r="B81" s="136"/>
      <c r="C81" s="129"/>
      <c r="D81" s="78" t="s">
        <v>192</v>
      </c>
      <c r="E81" s="42" t="s">
        <v>242</v>
      </c>
      <c r="F81" s="40">
        <v>3821785</v>
      </c>
      <c r="G81" s="90">
        <f>SUM(F33:F81)</f>
        <v>286115242</v>
      </c>
      <c r="H81" s="91"/>
    </row>
    <row r="82" spans="1:8" s="31" customFormat="1" ht="10.95" customHeight="1" x14ac:dyDescent="0.2">
      <c r="A82" s="124" t="s">
        <v>35</v>
      </c>
      <c r="B82" s="125">
        <v>2</v>
      </c>
      <c r="C82" s="126" t="s">
        <v>48</v>
      </c>
      <c r="D82" s="78" t="s">
        <v>177</v>
      </c>
      <c r="E82" s="78" t="s">
        <v>243</v>
      </c>
      <c r="F82" s="98">
        <v>256781</v>
      </c>
      <c r="G82" s="47"/>
    </row>
    <row r="83" spans="1:8" s="31" customFormat="1" ht="10.95" customHeight="1" x14ac:dyDescent="0.2">
      <c r="A83" s="124"/>
      <c r="B83" s="125"/>
      <c r="C83" s="126"/>
      <c r="D83" s="78" t="s">
        <v>177</v>
      </c>
      <c r="E83" s="78" t="s">
        <v>244</v>
      </c>
      <c r="F83" s="98">
        <f>5452363-965712</f>
        <v>4486651</v>
      </c>
      <c r="G83" s="47"/>
    </row>
    <row r="84" spans="1:8" s="31" customFormat="1" ht="10.95" customHeight="1" x14ac:dyDescent="0.2">
      <c r="A84" s="124"/>
      <c r="B84" s="125"/>
      <c r="C84" s="126"/>
      <c r="D84" s="78" t="s">
        <v>177</v>
      </c>
      <c r="E84" s="78" t="s">
        <v>246</v>
      </c>
      <c r="F84" s="98">
        <f>3615131-640305</f>
        <v>2974826</v>
      </c>
      <c r="G84" s="47"/>
    </row>
    <row r="85" spans="1:8" s="31" customFormat="1" ht="10.95" customHeight="1" x14ac:dyDescent="0.2">
      <c r="A85" s="124"/>
      <c r="B85" s="125"/>
      <c r="C85" s="126"/>
      <c r="D85" s="78" t="s">
        <v>177</v>
      </c>
      <c r="E85" s="78" t="s">
        <v>248</v>
      </c>
      <c r="F85" s="98">
        <v>766854</v>
      </c>
      <c r="G85" s="47"/>
    </row>
    <row r="86" spans="1:8" s="31" customFormat="1" ht="10.95" customHeight="1" x14ac:dyDescent="0.2">
      <c r="A86" s="124"/>
      <c r="B86" s="125"/>
      <c r="C86" s="126" t="s">
        <v>49</v>
      </c>
      <c r="D86" s="78" t="s">
        <v>177</v>
      </c>
      <c r="E86" s="78" t="s">
        <v>243</v>
      </c>
      <c r="F86" s="98">
        <v>3082071.4649588894</v>
      </c>
      <c r="G86" s="47"/>
    </row>
    <row r="87" spans="1:8" s="31" customFormat="1" ht="10.95" customHeight="1" x14ac:dyDescent="0.2">
      <c r="A87" s="124"/>
      <c r="B87" s="125"/>
      <c r="C87" s="126"/>
      <c r="D87" s="78" t="s">
        <v>177</v>
      </c>
      <c r="E87" s="78" t="s">
        <v>244</v>
      </c>
      <c r="F87" s="98">
        <v>12447874.432468278</v>
      </c>
      <c r="G87" s="47"/>
    </row>
    <row r="88" spans="1:8" s="31" customFormat="1" ht="10.95" customHeight="1" x14ac:dyDescent="0.2">
      <c r="A88" s="124"/>
      <c r="B88" s="125"/>
      <c r="C88" s="126"/>
      <c r="D88" s="78" t="s">
        <v>177</v>
      </c>
      <c r="E88" s="78" t="s">
        <v>245</v>
      </c>
      <c r="F88" s="98">
        <v>4425412.104879329</v>
      </c>
      <c r="G88" s="47"/>
    </row>
    <row r="89" spans="1:8" s="31" customFormat="1" ht="10.95" customHeight="1" x14ac:dyDescent="0.2">
      <c r="A89" s="124"/>
      <c r="B89" s="125"/>
      <c r="C89" s="126"/>
      <c r="D89" s="78" t="s">
        <v>177</v>
      </c>
      <c r="E89" s="78" t="s">
        <v>246</v>
      </c>
      <c r="F89" s="98">
        <v>35642227.486929879</v>
      </c>
      <c r="G89" s="47"/>
    </row>
    <row r="90" spans="1:8" s="31" customFormat="1" ht="10.95" customHeight="1" x14ac:dyDescent="0.2">
      <c r="A90" s="124"/>
      <c r="B90" s="125"/>
      <c r="C90" s="126"/>
      <c r="D90" s="78" t="s">
        <v>177</v>
      </c>
      <c r="E90" s="78" t="s">
        <v>247</v>
      </c>
      <c r="F90" s="98">
        <v>6668323.8890410019</v>
      </c>
      <c r="G90" s="47"/>
    </row>
    <row r="91" spans="1:8" s="31" customFormat="1" ht="10.95" customHeight="1" x14ac:dyDescent="0.2">
      <c r="A91" s="124"/>
      <c r="B91" s="125"/>
      <c r="C91" s="126"/>
      <c r="D91" s="78" t="s">
        <v>177</v>
      </c>
      <c r="E91" s="78" t="s">
        <v>248</v>
      </c>
      <c r="F91" s="98">
        <v>1042546.621722626</v>
      </c>
      <c r="G91" s="47"/>
    </row>
    <row r="92" spans="1:8" s="31" customFormat="1" ht="10.95" customHeight="1" x14ac:dyDescent="0.2">
      <c r="A92" s="124"/>
      <c r="B92" s="125"/>
      <c r="C92" s="126" t="s">
        <v>50</v>
      </c>
      <c r="D92" s="78" t="s">
        <v>177</v>
      </c>
      <c r="E92" s="78" t="s">
        <v>243</v>
      </c>
      <c r="F92" s="98">
        <v>3519758.5350411106</v>
      </c>
      <c r="G92" s="47"/>
    </row>
    <row r="93" spans="1:8" s="31" customFormat="1" ht="10.95" customHeight="1" x14ac:dyDescent="0.2">
      <c r="A93" s="124"/>
      <c r="B93" s="125"/>
      <c r="C93" s="126"/>
      <c r="D93" s="78" t="s">
        <v>177</v>
      </c>
      <c r="E93" s="78" t="s">
        <v>244</v>
      </c>
      <c r="F93" s="98">
        <v>14215605.567531724</v>
      </c>
      <c r="G93" s="47"/>
    </row>
    <row r="94" spans="1:8" s="31" customFormat="1" ht="10.95" customHeight="1" x14ac:dyDescent="0.2">
      <c r="A94" s="124"/>
      <c r="B94" s="125"/>
      <c r="C94" s="126"/>
      <c r="D94" s="78" t="s">
        <v>177</v>
      </c>
      <c r="E94" s="78" t="s">
        <v>245</v>
      </c>
      <c r="F94" s="98">
        <v>5053867.895120671</v>
      </c>
      <c r="G94" s="47"/>
    </row>
    <row r="95" spans="1:8" s="31" customFormat="1" ht="10.95" customHeight="1" x14ac:dyDescent="0.2">
      <c r="A95" s="124"/>
      <c r="B95" s="125"/>
      <c r="C95" s="126"/>
      <c r="D95" s="78" t="s">
        <v>177</v>
      </c>
      <c r="E95" s="78" t="s">
        <v>246</v>
      </c>
      <c r="F95" s="98">
        <v>40703804.513070129</v>
      </c>
      <c r="G95" s="47"/>
    </row>
    <row r="96" spans="1:8" s="31" customFormat="1" ht="10.95" customHeight="1" x14ac:dyDescent="0.2">
      <c r="A96" s="124"/>
      <c r="B96" s="125"/>
      <c r="C96" s="126"/>
      <c r="D96" s="78" t="s">
        <v>177</v>
      </c>
      <c r="E96" s="78" t="s">
        <v>247</v>
      </c>
      <c r="F96" s="98">
        <v>7615297.110958999</v>
      </c>
      <c r="G96" s="47"/>
    </row>
    <row r="97" spans="1:10" s="31" customFormat="1" ht="10.95" customHeight="1" x14ac:dyDescent="0.2">
      <c r="A97" s="124"/>
      <c r="B97" s="125"/>
      <c r="C97" s="126"/>
      <c r="D97" s="78" t="s">
        <v>177</v>
      </c>
      <c r="E97" s="78" t="s">
        <v>248</v>
      </c>
      <c r="F97" s="98">
        <v>1190599.378277374</v>
      </c>
      <c r="G97" s="90">
        <f>SUM(F82:F97)</f>
        <v>144092500.99999997</v>
      </c>
      <c r="H97" s="91"/>
    </row>
    <row r="98" spans="1:10" s="31" customFormat="1" ht="10.95" customHeight="1" x14ac:dyDescent="0.2">
      <c r="A98" s="124"/>
      <c r="B98" s="125"/>
      <c r="C98" s="81" t="s">
        <v>51</v>
      </c>
      <c r="D98" s="78" t="s">
        <v>178</v>
      </c>
      <c r="E98" s="42" t="s">
        <v>249</v>
      </c>
      <c r="F98" s="98">
        <v>85383547</v>
      </c>
      <c r="G98" s="47"/>
    </row>
    <row r="99" spans="1:10" s="31" customFormat="1" ht="10.95" customHeight="1" x14ac:dyDescent="0.2">
      <c r="A99" s="124"/>
      <c r="B99" s="125"/>
      <c r="C99" s="81" t="s">
        <v>52</v>
      </c>
      <c r="D99" s="78" t="s">
        <v>178</v>
      </c>
      <c r="E99" s="78">
        <v>107</v>
      </c>
      <c r="F99" s="98">
        <v>118610885</v>
      </c>
      <c r="G99" s="90">
        <f>SUM(F98:F99)</f>
        <v>203994432</v>
      </c>
      <c r="H99" s="91"/>
    </row>
    <row r="100" spans="1:10" s="31" customFormat="1" ht="10.95" customHeight="1" x14ac:dyDescent="0.2">
      <c r="A100" s="124" t="s">
        <v>37</v>
      </c>
      <c r="B100" s="125">
        <v>4</v>
      </c>
      <c r="C100" s="127" t="s">
        <v>98</v>
      </c>
      <c r="D100" s="78" t="s">
        <v>179</v>
      </c>
      <c r="E100" s="78">
        <v>134</v>
      </c>
      <c r="F100" s="98">
        <v>0</v>
      </c>
      <c r="G100" s="47"/>
    </row>
    <row r="101" spans="1:10" s="31" customFormat="1" ht="10.95" customHeight="1" x14ac:dyDescent="0.2">
      <c r="A101" s="124"/>
      <c r="B101" s="125"/>
      <c r="C101" s="129"/>
      <c r="D101" s="78" t="s">
        <v>179</v>
      </c>
      <c r="E101" s="78">
        <v>136</v>
      </c>
      <c r="F101" s="98">
        <v>500000</v>
      </c>
      <c r="G101" s="47"/>
      <c r="J101" s="108"/>
    </row>
    <row r="102" spans="1:10" s="31" customFormat="1" ht="10.95" customHeight="1" x14ac:dyDescent="0.2">
      <c r="A102" s="124"/>
      <c r="B102" s="125"/>
      <c r="C102" s="127" t="s">
        <v>99</v>
      </c>
      <c r="D102" s="78" t="s">
        <v>179</v>
      </c>
      <c r="E102" s="78">
        <v>134</v>
      </c>
      <c r="F102" s="98">
        <v>36596988</v>
      </c>
      <c r="G102" s="47"/>
      <c r="J102" s="108"/>
    </row>
    <row r="103" spans="1:10" s="31" customFormat="1" ht="10.95" customHeight="1" x14ac:dyDescent="0.2">
      <c r="A103" s="124"/>
      <c r="B103" s="125"/>
      <c r="C103" s="129"/>
      <c r="D103" s="78" t="s">
        <v>179</v>
      </c>
      <c r="E103" s="78">
        <v>136</v>
      </c>
      <c r="F103" s="98">
        <v>23884450</v>
      </c>
      <c r="G103" s="47"/>
    </row>
    <row r="104" spans="1:10" s="31" customFormat="1" ht="10.95" customHeight="1" x14ac:dyDescent="0.2">
      <c r="A104" s="124"/>
      <c r="B104" s="125"/>
      <c r="C104" s="81" t="s">
        <v>100</v>
      </c>
      <c r="D104" s="78" t="s">
        <v>195</v>
      </c>
      <c r="E104" s="78">
        <v>139</v>
      </c>
      <c r="F104" s="98">
        <v>3027511</v>
      </c>
      <c r="G104" s="47"/>
    </row>
    <row r="105" spans="1:10" s="31" customFormat="1" ht="10.95" customHeight="1" x14ac:dyDescent="0.2">
      <c r="A105" s="124"/>
      <c r="B105" s="125"/>
      <c r="C105" s="81" t="s">
        <v>101</v>
      </c>
      <c r="D105" s="78" t="s">
        <v>196</v>
      </c>
      <c r="E105" s="78">
        <v>142</v>
      </c>
      <c r="F105" s="98">
        <v>7500000</v>
      </c>
      <c r="G105" s="47"/>
    </row>
    <row r="106" spans="1:10" s="31" customFormat="1" ht="10.95" customHeight="1" x14ac:dyDescent="0.2">
      <c r="A106" s="124"/>
      <c r="B106" s="125"/>
      <c r="C106" s="81" t="s">
        <v>102</v>
      </c>
      <c r="D106" s="78" t="s">
        <v>197</v>
      </c>
      <c r="E106" s="78">
        <v>147</v>
      </c>
      <c r="F106" s="98">
        <v>8015738</v>
      </c>
      <c r="G106" s="47"/>
    </row>
    <row r="107" spans="1:10" s="31" customFormat="1" ht="10.95" customHeight="1" x14ac:dyDescent="0.2">
      <c r="A107" s="124"/>
      <c r="B107" s="125"/>
      <c r="C107" s="81" t="s">
        <v>103</v>
      </c>
      <c r="D107" s="78" t="s">
        <v>197</v>
      </c>
      <c r="E107" s="78">
        <v>146</v>
      </c>
      <c r="F107" s="98">
        <v>6649328</v>
      </c>
      <c r="G107" s="47"/>
    </row>
    <row r="108" spans="1:10" s="31" customFormat="1" ht="10.95" customHeight="1" x14ac:dyDescent="0.2">
      <c r="A108" s="124"/>
      <c r="B108" s="125"/>
      <c r="C108" s="81" t="s">
        <v>104</v>
      </c>
      <c r="D108" s="78" t="s">
        <v>185</v>
      </c>
      <c r="E108" s="78">
        <v>148</v>
      </c>
      <c r="F108" s="98">
        <v>40446615</v>
      </c>
      <c r="G108" s="47"/>
    </row>
    <row r="109" spans="1:10" s="31" customFormat="1" ht="10.95" customHeight="1" x14ac:dyDescent="0.2">
      <c r="A109" s="124"/>
      <c r="B109" s="125"/>
      <c r="C109" s="127" t="s">
        <v>105</v>
      </c>
      <c r="D109" s="78" t="s">
        <v>185</v>
      </c>
      <c r="E109" s="87">
        <v>136</v>
      </c>
      <c r="F109" s="98">
        <v>0</v>
      </c>
      <c r="G109" s="47"/>
    </row>
    <row r="110" spans="1:10" s="31" customFormat="1" ht="10.95" customHeight="1" x14ac:dyDescent="0.2">
      <c r="A110" s="124"/>
      <c r="B110" s="125"/>
      <c r="C110" s="129"/>
      <c r="D110" s="78" t="s">
        <v>185</v>
      </c>
      <c r="E110" s="87">
        <v>149</v>
      </c>
      <c r="F110" s="98">
        <v>106638641</v>
      </c>
      <c r="G110" s="47"/>
    </row>
    <row r="111" spans="1:10" s="31" customFormat="1" ht="10.95" customHeight="1" x14ac:dyDescent="0.2">
      <c r="A111" s="124"/>
      <c r="B111" s="125"/>
      <c r="C111" s="81" t="s">
        <v>106</v>
      </c>
      <c r="D111" s="78" t="s">
        <v>198</v>
      </c>
      <c r="E111" s="78">
        <v>151</v>
      </c>
      <c r="F111" s="98">
        <v>39257916</v>
      </c>
      <c r="G111" s="47"/>
    </row>
    <row r="112" spans="1:10" s="31" customFormat="1" ht="10.95" customHeight="1" x14ac:dyDescent="0.2">
      <c r="A112" s="124"/>
      <c r="B112" s="125"/>
      <c r="C112" s="81" t="s">
        <v>107</v>
      </c>
      <c r="D112" s="78" t="s">
        <v>198</v>
      </c>
      <c r="E112" s="78">
        <v>151</v>
      </c>
      <c r="F112" s="98">
        <v>12585972</v>
      </c>
      <c r="G112" s="47"/>
    </row>
    <row r="113" spans="1:8" s="31" customFormat="1" ht="10.95" customHeight="1" x14ac:dyDescent="0.2">
      <c r="A113" s="124"/>
      <c r="B113" s="125"/>
      <c r="C113" s="127" t="s">
        <v>108</v>
      </c>
      <c r="D113" s="78" t="s">
        <v>186</v>
      </c>
      <c r="E113" s="87">
        <v>152</v>
      </c>
      <c r="F113" s="98">
        <v>0</v>
      </c>
      <c r="G113" s="47"/>
    </row>
    <row r="114" spans="1:8" s="31" customFormat="1" ht="10.95" customHeight="1" x14ac:dyDescent="0.2">
      <c r="A114" s="124"/>
      <c r="B114" s="125"/>
      <c r="C114" s="129"/>
      <c r="D114" s="78" t="s">
        <v>186</v>
      </c>
      <c r="E114" s="87">
        <v>153</v>
      </c>
      <c r="F114" s="98">
        <v>19581573</v>
      </c>
      <c r="G114" s="47"/>
    </row>
    <row r="115" spans="1:8" s="31" customFormat="1" ht="10.95" customHeight="1" x14ac:dyDescent="0.2">
      <c r="A115" s="124"/>
      <c r="B115" s="125"/>
      <c r="C115" s="81" t="s">
        <v>109</v>
      </c>
      <c r="D115" s="78" t="s">
        <v>186</v>
      </c>
      <c r="E115" s="87">
        <v>153</v>
      </c>
      <c r="F115" s="98">
        <v>3000000</v>
      </c>
      <c r="G115" s="47"/>
    </row>
    <row r="116" spans="1:8" s="31" customFormat="1" ht="10.95" customHeight="1" x14ac:dyDescent="0.2">
      <c r="A116" s="124"/>
      <c r="B116" s="125"/>
      <c r="C116" s="81" t="s">
        <v>110</v>
      </c>
      <c r="D116" s="78" t="s">
        <v>186</v>
      </c>
      <c r="E116" s="78">
        <v>138</v>
      </c>
      <c r="F116" s="98">
        <v>12103667</v>
      </c>
      <c r="G116" s="47"/>
    </row>
    <row r="117" spans="1:8" s="31" customFormat="1" ht="10.95" customHeight="1" x14ac:dyDescent="0.2">
      <c r="A117" s="124"/>
      <c r="B117" s="125"/>
      <c r="C117" s="81" t="s">
        <v>111</v>
      </c>
      <c r="D117" s="78" t="s">
        <v>199</v>
      </c>
      <c r="E117" s="78">
        <v>157</v>
      </c>
      <c r="F117" s="98">
        <v>0</v>
      </c>
      <c r="G117" s="47"/>
    </row>
    <row r="118" spans="1:8" s="31" customFormat="1" ht="10.95" customHeight="1" x14ac:dyDescent="0.2">
      <c r="A118" s="124"/>
      <c r="B118" s="125"/>
      <c r="C118" s="81" t="s">
        <v>112</v>
      </c>
      <c r="D118" s="78" t="s">
        <v>199</v>
      </c>
      <c r="E118" s="78">
        <v>157</v>
      </c>
      <c r="F118" s="98">
        <v>5006056</v>
      </c>
      <c r="G118" s="47"/>
    </row>
    <row r="119" spans="1:8" s="31" customFormat="1" ht="10.95" customHeight="1" x14ac:dyDescent="0.2">
      <c r="A119" s="124"/>
      <c r="B119" s="125"/>
      <c r="C119" s="81" t="s">
        <v>113</v>
      </c>
      <c r="D119" s="78" t="s">
        <v>199</v>
      </c>
      <c r="E119" s="78">
        <v>157</v>
      </c>
      <c r="F119" s="98">
        <v>6118512</v>
      </c>
      <c r="G119" s="47"/>
    </row>
    <row r="120" spans="1:8" s="31" customFormat="1" ht="10.95" customHeight="1" x14ac:dyDescent="0.2">
      <c r="A120" s="124"/>
      <c r="B120" s="125"/>
      <c r="C120" s="127" t="s">
        <v>114</v>
      </c>
      <c r="D120" s="78" t="s">
        <v>200</v>
      </c>
      <c r="E120" s="78">
        <v>158</v>
      </c>
      <c r="F120" s="98">
        <v>45050221</v>
      </c>
      <c r="G120" s="47"/>
    </row>
    <row r="121" spans="1:8" s="31" customFormat="1" ht="10.95" customHeight="1" x14ac:dyDescent="0.2">
      <c r="A121" s="124"/>
      <c r="B121" s="125"/>
      <c r="C121" s="129"/>
      <c r="D121" s="78" t="s">
        <v>200</v>
      </c>
      <c r="E121" s="78">
        <v>161</v>
      </c>
      <c r="F121" s="98">
        <v>9445055</v>
      </c>
      <c r="G121" s="47"/>
    </row>
    <row r="122" spans="1:8" s="31" customFormat="1" ht="10.95" customHeight="1" x14ac:dyDescent="0.2">
      <c r="A122" s="124"/>
      <c r="B122" s="125"/>
      <c r="C122" s="81" t="s">
        <v>115</v>
      </c>
      <c r="D122" s="78" t="s">
        <v>200</v>
      </c>
      <c r="E122" s="78">
        <v>158</v>
      </c>
      <c r="F122" s="98">
        <v>12000000</v>
      </c>
      <c r="G122" s="47"/>
    </row>
    <row r="123" spans="1:8" s="31" customFormat="1" ht="10.95" customHeight="1" x14ac:dyDescent="0.2">
      <c r="A123" s="124"/>
      <c r="B123" s="125"/>
      <c r="C123" s="81" t="s">
        <v>116</v>
      </c>
      <c r="D123" s="78" t="s">
        <v>200</v>
      </c>
      <c r="E123" s="78">
        <v>158</v>
      </c>
      <c r="F123" s="98">
        <v>15000000</v>
      </c>
      <c r="G123" s="47"/>
    </row>
    <row r="124" spans="1:8" s="31" customFormat="1" ht="10.95" customHeight="1" x14ac:dyDescent="0.2">
      <c r="A124" s="124"/>
      <c r="B124" s="125"/>
      <c r="C124" s="127" t="s">
        <v>117</v>
      </c>
      <c r="D124" s="78" t="s">
        <v>200</v>
      </c>
      <c r="E124" s="78">
        <v>158</v>
      </c>
      <c r="F124" s="98">
        <v>10000000</v>
      </c>
      <c r="G124" s="47"/>
    </row>
    <row r="125" spans="1:8" s="31" customFormat="1" ht="10.95" customHeight="1" x14ac:dyDescent="0.2">
      <c r="A125" s="124"/>
      <c r="B125" s="125"/>
      <c r="C125" s="129"/>
      <c r="D125" s="78" t="s">
        <v>200</v>
      </c>
      <c r="E125" s="78">
        <v>161</v>
      </c>
      <c r="F125" s="98">
        <v>0</v>
      </c>
      <c r="G125" s="47"/>
    </row>
    <row r="126" spans="1:8" s="31" customFormat="1" ht="10.95" customHeight="1" x14ac:dyDescent="0.2">
      <c r="A126" s="124"/>
      <c r="B126" s="125"/>
      <c r="C126" s="81" t="s">
        <v>118</v>
      </c>
      <c r="D126" s="78" t="s">
        <v>201</v>
      </c>
      <c r="E126" s="78">
        <v>163</v>
      </c>
      <c r="F126" s="98">
        <v>5078910</v>
      </c>
      <c r="G126" s="90">
        <f>SUM(F100:F126)</f>
        <v>427487153</v>
      </c>
      <c r="H126" s="91"/>
    </row>
    <row r="127" spans="1:8" s="31" customFormat="1" ht="10.95" customHeight="1" x14ac:dyDescent="0.2">
      <c r="A127" s="124" t="s">
        <v>38</v>
      </c>
      <c r="B127" s="130">
        <v>4</v>
      </c>
      <c r="C127" s="81" t="s">
        <v>153</v>
      </c>
      <c r="D127" s="118" t="s">
        <v>187</v>
      </c>
      <c r="E127" s="78">
        <v>121</v>
      </c>
      <c r="F127" s="82">
        <f>10114028-500000</f>
        <v>9614028</v>
      </c>
      <c r="G127" s="47"/>
    </row>
    <row r="128" spans="1:8" s="31" customFormat="1" ht="10.95" customHeight="1" x14ac:dyDescent="0.2">
      <c r="A128" s="124"/>
      <c r="B128" s="130"/>
      <c r="C128" s="127" t="s">
        <v>154</v>
      </c>
      <c r="D128" s="118" t="s">
        <v>187</v>
      </c>
      <c r="E128" s="78">
        <v>122</v>
      </c>
      <c r="F128" s="82">
        <v>9632407</v>
      </c>
      <c r="G128" s="47"/>
    </row>
    <row r="129" spans="1:10" s="31" customFormat="1" ht="10.95" customHeight="1" x14ac:dyDescent="0.2">
      <c r="A129" s="124"/>
      <c r="B129" s="130"/>
      <c r="C129" s="129"/>
      <c r="D129" s="118" t="s">
        <v>187</v>
      </c>
      <c r="E129" s="78">
        <v>124</v>
      </c>
      <c r="F129" s="82">
        <v>20000000</v>
      </c>
      <c r="G129" s="47"/>
    </row>
    <row r="130" spans="1:10" s="31" customFormat="1" ht="10.95" customHeight="1" x14ac:dyDescent="0.2">
      <c r="A130" s="124"/>
      <c r="B130" s="130"/>
      <c r="C130" s="81" t="s">
        <v>155</v>
      </c>
      <c r="D130" s="118" t="s">
        <v>202</v>
      </c>
      <c r="E130" s="78">
        <v>127</v>
      </c>
      <c r="F130" s="82">
        <v>15000000</v>
      </c>
      <c r="G130" s="47"/>
    </row>
    <row r="131" spans="1:10" s="31" customFormat="1" ht="10.95" customHeight="1" x14ac:dyDescent="0.2">
      <c r="A131" s="124"/>
      <c r="B131" s="130"/>
      <c r="C131" s="81" t="s">
        <v>156</v>
      </c>
      <c r="D131" s="118" t="s">
        <v>202</v>
      </c>
      <c r="E131" s="78">
        <v>127</v>
      </c>
      <c r="F131" s="82">
        <v>24000000</v>
      </c>
      <c r="G131" s="47"/>
    </row>
    <row r="132" spans="1:10" s="31" customFormat="1" ht="10.95" customHeight="1" x14ac:dyDescent="0.2">
      <c r="A132" s="124"/>
      <c r="B132" s="130"/>
      <c r="C132" s="81" t="s">
        <v>157</v>
      </c>
      <c r="D132" s="118" t="s">
        <v>202</v>
      </c>
      <c r="E132" s="78">
        <v>127</v>
      </c>
      <c r="F132" s="82">
        <v>10000000</v>
      </c>
      <c r="G132" s="47"/>
    </row>
    <row r="133" spans="1:10" s="31" customFormat="1" ht="10.95" customHeight="1" x14ac:dyDescent="0.2">
      <c r="A133" s="124"/>
      <c r="B133" s="130"/>
      <c r="C133" s="81" t="s">
        <v>158</v>
      </c>
      <c r="D133" s="118" t="s">
        <v>202</v>
      </c>
      <c r="E133" s="78">
        <v>127</v>
      </c>
      <c r="F133" s="82">
        <v>5000000</v>
      </c>
      <c r="G133" s="47"/>
    </row>
    <row r="134" spans="1:10" s="31" customFormat="1" ht="10.95" customHeight="1" x14ac:dyDescent="0.2">
      <c r="A134" s="124"/>
      <c r="B134" s="130"/>
      <c r="C134" s="127" t="s">
        <v>159</v>
      </c>
      <c r="D134" s="118" t="s">
        <v>188</v>
      </c>
      <c r="E134" s="78">
        <v>128</v>
      </c>
      <c r="F134" s="82">
        <v>19456733</v>
      </c>
      <c r="G134" s="47"/>
    </row>
    <row r="135" spans="1:10" s="31" customFormat="1" ht="10.95" customHeight="1" x14ac:dyDescent="0.2">
      <c r="A135" s="124"/>
      <c r="B135" s="130"/>
      <c r="C135" s="128"/>
      <c r="D135" s="118" t="s">
        <v>188</v>
      </c>
      <c r="E135" s="78">
        <v>129</v>
      </c>
      <c r="F135" s="82">
        <v>11046915</v>
      </c>
      <c r="G135" s="47"/>
    </row>
    <row r="136" spans="1:10" s="31" customFormat="1" ht="10.95" customHeight="1" x14ac:dyDescent="0.2">
      <c r="A136" s="124"/>
      <c r="B136" s="130"/>
      <c r="C136" s="129"/>
      <c r="D136" s="118" t="s">
        <v>188</v>
      </c>
      <c r="E136" s="78">
        <v>172</v>
      </c>
      <c r="F136" s="82">
        <v>157296</v>
      </c>
      <c r="G136" s="47"/>
    </row>
    <row r="137" spans="1:10" s="31" customFormat="1" ht="10.95" customHeight="1" x14ac:dyDescent="0.2">
      <c r="A137" s="124"/>
      <c r="B137" s="130"/>
      <c r="C137" s="127" t="s">
        <v>160</v>
      </c>
      <c r="D137" s="118" t="s">
        <v>188</v>
      </c>
      <c r="E137" s="78">
        <v>128</v>
      </c>
      <c r="F137" s="82">
        <v>6536014</v>
      </c>
      <c r="G137" s="47"/>
      <c r="J137" s="107"/>
    </row>
    <row r="138" spans="1:10" s="31" customFormat="1" ht="10.95" customHeight="1" x14ac:dyDescent="0.2">
      <c r="A138" s="124"/>
      <c r="B138" s="130"/>
      <c r="C138" s="129"/>
      <c r="D138" s="118" t="s">
        <v>188</v>
      </c>
      <c r="E138" s="78">
        <v>129</v>
      </c>
      <c r="F138" s="82">
        <v>3710941</v>
      </c>
      <c r="G138" s="47"/>
      <c r="J138" s="107"/>
    </row>
    <row r="139" spans="1:10" s="31" customFormat="1" ht="10.95" customHeight="1" x14ac:dyDescent="0.2">
      <c r="A139" s="124"/>
      <c r="B139" s="130"/>
      <c r="C139" s="128" t="s">
        <v>161</v>
      </c>
      <c r="D139" s="118" t="s">
        <v>188</v>
      </c>
      <c r="E139" s="78">
        <v>128</v>
      </c>
      <c r="F139" s="82">
        <v>7491625</v>
      </c>
      <c r="G139" s="47"/>
      <c r="J139" s="107"/>
    </row>
    <row r="140" spans="1:10" s="31" customFormat="1" ht="10.95" customHeight="1" x14ac:dyDescent="0.2">
      <c r="A140" s="124"/>
      <c r="B140" s="130"/>
      <c r="C140" s="129"/>
      <c r="D140" s="118" t="s">
        <v>188</v>
      </c>
      <c r="E140" s="78">
        <v>129</v>
      </c>
      <c r="F140" s="82">
        <v>4253506</v>
      </c>
      <c r="G140" s="47"/>
    </row>
    <row r="141" spans="1:10" s="31" customFormat="1" ht="10.95" customHeight="1" x14ac:dyDescent="0.2">
      <c r="A141" s="124"/>
      <c r="B141" s="130"/>
      <c r="C141" s="126" t="s">
        <v>162</v>
      </c>
      <c r="D141" s="118" t="s">
        <v>180</v>
      </c>
      <c r="E141" s="78">
        <v>166</v>
      </c>
      <c r="F141" s="82">
        <v>27459409</v>
      </c>
      <c r="G141" s="47"/>
    </row>
    <row r="142" spans="1:10" s="31" customFormat="1" ht="10.95" customHeight="1" x14ac:dyDescent="0.2">
      <c r="A142" s="124"/>
      <c r="B142" s="130"/>
      <c r="C142" s="126"/>
      <c r="D142" s="118" t="s">
        <v>180</v>
      </c>
      <c r="E142" s="78">
        <v>172</v>
      </c>
      <c r="F142" s="82">
        <v>1261022</v>
      </c>
      <c r="G142" s="47"/>
    </row>
    <row r="143" spans="1:10" s="31" customFormat="1" ht="10.95" customHeight="1" x14ac:dyDescent="0.2">
      <c r="A143" s="124"/>
      <c r="B143" s="130"/>
      <c r="C143" s="81" t="s">
        <v>163</v>
      </c>
      <c r="D143" s="118" t="s">
        <v>180</v>
      </c>
      <c r="E143" s="78">
        <v>165</v>
      </c>
      <c r="F143" s="82">
        <f>51135797-3000000-12220000</f>
        <v>35915797</v>
      </c>
      <c r="G143" s="47"/>
    </row>
    <row r="144" spans="1:10" s="31" customFormat="1" ht="10.95" customHeight="1" x14ac:dyDescent="0.2">
      <c r="A144" s="124"/>
      <c r="B144" s="130"/>
      <c r="C144" s="81" t="s">
        <v>164</v>
      </c>
      <c r="D144" s="118" t="s">
        <v>180</v>
      </c>
      <c r="E144" s="78">
        <v>165</v>
      </c>
      <c r="F144" s="82">
        <v>10000000</v>
      </c>
      <c r="G144" s="90">
        <f>SUM(F127:F144)</f>
        <v>220535693</v>
      </c>
      <c r="H144" s="91"/>
    </row>
    <row r="145" spans="1:9" s="31" customFormat="1" ht="10.95" customHeight="1" x14ac:dyDescent="0.2">
      <c r="A145" s="124" t="s">
        <v>39</v>
      </c>
      <c r="B145" s="125">
        <v>5</v>
      </c>
      <c r="C145" s="126" t="s">
        <v>167</v>
      </c>
      <c r="D145" s="78" t="s">
        <v>181</v>
      </c>
      <c r="E145" s="78">
        <v>168</v>
      </c>
      <c r="F145" s="82">
        <v>43000000</v>
      </c>
      <c r="G145" s="47"/>
    </row>
    <row r="146" spans="1:9" s="31" customFormat="1" ht="10.95" customHeight="1" x14ac:dyDescent="0.2">
      <c r="A146" s="124"/>
      <c r="B146" s="125"/>
      <c r="C146" s="126"/>
      <c r="D146" s="78" t="s">
        <v>181</v>
      </c>
      <c r="E146" s="78">
        <v>169</v>
      </c>
      <c r="F146" s="82">
        <v>2000000</v>
      </c>
      <c r="G146" s="90">
        <f>SUM(F145:F146)</f>
        <v>45000000</v>
      </c>
      <c r="H146" s="91"/>
    </row>
    <row r="147" spans="1:9" s="31" customFormat="1" ht="10.95" customHeight="1" x14ac:dyDescent="0.2">
      <c r="A147" s="124" t="s">
        <v>40</v>
      </c>
      <c r="B147" s="125" t="s">
        <v>250</v>
      </c>
      <c r="C147" s="126" t="s">
        <v>166</v>
      </c>
      <c r="D147" s="78" t="s">
        <v>182</v>
      </c>
      <c r="E147" s="78">
        <v>179</v>
      </c>
      <c r="F147" s="82">
        <v>1257500</v>
      </c>
      <c r="G147" s="47"/>
    </row>
    <row r="148" spans="1:9" s="31" customFormat="1" ht="10.95" customHeight="1" x14ac:dyDescent="0.2">
      <c r="A148" s="124"/>
      <c r="B148" s="125"/>
      <c r="C148" s="126"/>
      <c r="D148" s="78" t="s">
        <v>182</v>
      </c>
      <c r="E148" s="78">
        <v>180</v>
      </c>
      <c r="F148" s="82">
        <v>16889508</v>
      </c>
      <c r="G148" s="47"/>
    </row>
    <row r="149" spans="1:9" s="31" customFormat="1" ht="10.95" customHeight="1" x14ac:dyDescent="0.2">
      <c r="A149" s="124"/>
      <c r="B149" s="125"/>
      <c r="C149" s="126"/>
      <c r="D149" s="78" t="s">
        <v>182</v>
      </c>
      <c r="E149" s="78">
        <v>181</v>
      </c>
      <c r="F149" s="82">
        <v>1435503</v>
      </c>
      <c r="G149" s="47"/>
    </row>
    <row r="150" spans="1:9" s="31" customFormat="1" ht="10.95" customHeight="1" x14ac:dyDescent="0.2">
      <c r="A150" s="124"/>
      <c r="B150" s="125"/>
      <c r="C150" s="126"/>
      <c r="D150" s="78" t="s">
        <v>182</v>
      </c>
      <c r="E150" s="78">
        <v>182</v>
      </c>
      <c r="F150" s="82">
        <v>574201</v>
      </c>
      <c r="G150" s="90">
        <f>SUM(F147:F150)</f>
        <v>20156712</v>
      </c>
      <c r="H150" s="91"/>
    </row>
    <row r="151" spans="1:9" s="31" customFormat="1" ht="10.95" customHeight="1" x14ac:dyDescent="0.2">
      <c r="A151" s="124" t="s">
        <v>41</v>
      </c>
      <c r="B151" s="125" t="s">
        <v>250</v>
      </c>
      <c r="C151" s="126" t="s">
        <v>165</v>
      </c>
      <c r="D151" s="78" t="s">
        <v>182</v>
      </c>
      <c r="E151" s="78">
        <v>179</v>
      </c>
      <c r="F151" s="82">
        <v>3122500</v>
      </c>
      <c r="G151" s="47"/>
    </row>
    <row r="152" spans="1:9" s="31" customFormat="1" ht="10.95" customHeight="1" x14ac:dyDescent="0.2">
      <c r="A152" s="124"/>
      <c r="B152" s="125"/>
      <c r="C152" s="126"/>
      <c r="D152" s="78" t="s">
        <v>182</v>
      </c>
      <c r="E152" s="78">
        <v>180</v>
      </c>
      <c r="F152" s="82">
        <v>41938341</v>
      </c>
      <c r="G152" s="47"/>
    </row>
    <row r="153" spans="1:9" s="31" customFormat="1" ht="10.95" customHeight="1" x14ac:dyDescent="0.2">
      <c r="A153" s="124"/>
      <c r="B153" s="125"/>
      <c r="C153" s="126"/>
      <c r="D153" s="78" t="s">
        <v>182</v>
      </c>
      <c r="E153" s="78">
        <v>181</v>
      </c>
      <c r="F153" s="82">
        <v>3564497</v>
      </c>
      <c r="G153" s="47"/>
    </row>
    <row r="154" spans="1:9" s="31" customFormat="1" ht="10.95" customHeight="1" x14ac:dyDescent="0.2">
      <c r="A154" s="124"/>
      <c r="B154" s="125"/>
      <c r="C154" s="126"/>
      <c r="D154" s="78" t="s">
        <v>182</v>
      </c>
      <c r="E154" s="78">
        <v>182</v>
      </c>
      <c r="F154" s="88">
        <v>1425799</v>
      </c>
      <c r="G154" s="90">
        <f>SUM(F151:F154)</f>
        <v>50051137</v>
      </c>
      <c r="H154" s="91"/>
    </row>
    <row r="155" spans="1:9" s="31" customFormat="1" x14ac:dyDescent="0.2">
      <c r="A155" s="113" t="s">
        <v>258</v>
      </c>
      <c r="B155" s="112">
        <v>1</v>
      </c>
      <c r="C155" s="81" t="s">
        <v>263</v>
      </c>
      <c r="D155" s="78" t="s">
        <v>271</v>
      </c>
      <c r="E155" s="78">
        <v>194</v>
      </c>
      <c r="F155" s="82">
        <v>2000000</v>
      </c>
      <c r="G155" s="47"/>
    </row>
    <row r="156" spans="1:9" s="31" customFormat="1" x14ac:dyDescent="0.2">
      <c r="A156" s="113" t="s">
        <v>258</v>
      </c>
      <c r="B156" s="112">
        <v>1</v>
      </c>
      <c r="C156" s="81" t="s">
        <v>263</v>
      </c>
      <c r="D156" s="78" t="s">
        <v>271</v>
      </c>
      <c r="E156" s="78">
        <v>195</v>
      </c>
      <c r="F156" s="82">
        <v>8000000</v>
      </c>
      <c r="G156" s="90">
        <f>SUM(F155:F156)</f>
        <v>10000000</v>
      </c>
      <c r="H156" s="91"/>
    </row>
    <row r="157" spans="1:9" s="31" customFormat="1" x14ac:dyDescent="0.2">
      <c r="A157" s="113" t="s">
        <v>259</v>
      </c>
      <c r="B157" s="112">
        <v>2</v>
      </c>
      <c r="C157" s="81" t="s">
        <v>264</v>
      </c>
      <c r="D157" s="78" t="s">
        <v>183</v>
      </c>
      <c r="E157" s="42" t="s">
        <v>236</v>
      </c>
      <c r="F157" s="82">
        <v>10000000</v>
      </c>
      <c r="G157" s="47"/>
    </row>
    <row r="158" spans="1:9" x14ac:dyDescent="0.2">
      <c r="A158" s="113" t="s">
        <v>259</v>
      </c>
      <c r="B158" s="112">
        <v>2</v>
      </c>
      <c r="C158" s="81" t="s">
        <v>264</v>
      </c>
      <c r="D158" s="78" t="s">
        <v>183</v>
      </c>
      <c r="E158" s="42" t="s">
        <v>237</v>
      </c>
      <c r="F158" s="79">
        <v>20000000</v>
      </c>
      <c r="G158" s="90">
        <f>SUM(F157:F158)</f>
        <v>30000000</v>
      </c>
      <c r="H158" s="91"/>
    </row>
    <row r="159" spans="1:9" x14ac:dyDescent="0.2">
      <c r="A159" s="113" t="s">
        <v>260</v>
      </c>
      <c r="B159" s="112">
        <v>3</v>
      </c>
      <c r="C159" s="81" t="s">
        <v>265</v>
      </c>
      <c r="D159" s="78" t="s">
        <v>270</v>
      </c>
      <c r="E159" s="42" t="s">
        <v>249</v>
      </c>
      <c r="F159" s="79">
        <v>34314333</v>
      </c>
      <c r="I159" s="41"/>
    </row>
    <row r="160" spans="1:9" x14ac:dyDescent="0.2">
      <c r="A160" s="113" t="s">
        <v>260</v>
      </c>
      <c r="B160" s="112">
        <v>3</v>
      </c>
      <c r="C160" s="81" t="s">
        <v>272</v>
      </c>
      <c r="D160" s="78" t="s">
        <v>270</v>
      </c>
      <c r="E160" s="78">
        <v>106</v>
      </c>
      <c r="F160" s="79">
        <v>14277132</v>
      </c>
      <c r="I160" s="41"/>
    </row>
    <row r="161" spans="1:9" x14ac:dyDescent="0.2">
      <c r="A161" s="113" t="s">
        <v>260</v>
      </c>
      <c r="B161" s="112">
        <v>3</v>
      </c>
      <c r="C161" s="81" t="s">
        <v>273</v>
      </c>
      <c r="D161" s="78" t="s">
        <v>270</v>
      </c>
      <c r="E161" s="78">
        <v>132</v>
      </c>
      <c r="F161" s="79">
        <v>12000000</v>
      </c>
      <c r="I161" s="41"/>
    </row>
    <row r="162" spans="1:9" x14ac:dyDescent="0.2">
      <c r="A162" s="113" t="s">
        <v>260</v>
      </c>
      <c r="B162" s="112">
        <v>3</v>
      </c>
      <c r="C162" s="81" t="s">
        <v>274</v>
      </c>
      <c r="D162" s="78" t="s">
        <v>270</v>
      </c>
      <c r="E162" s="78">
        <v>197</v>
      </c>
      <c r="F162" s="79">
        <v>29405223</v>
      </c>
      <c r="G162" s="90">
        <f>SUM(F159:F162)</f>
        <v>89996688</v>
      </c>
      <c r="H162" s="91"/>
      <c r="I162" s="41"/>
    </row>
    <row r="163" spans="1:9" x14ac:dyDescent="0.2">
      <c r="A163" s="113" t="s">
        <v>261</v>
      </c>
      <c r="B163" s="112">
        <v>4</v>
      </c>
      <c r="C163" s="81" t="s">
        <v>266</v>
      </c>
      <c r="D163" s="78" t="s">
        <v>269</v>
      </c>
      <c r="E163" s="78">
        <v>126</v>
      </c>
      <c r="F163" s="79">
        <v>23440000</v>
      </c>
      <c r="G163" s="114">
        <f>SUM(F163)</f>
        <v>23440000</v>
      </c>
      <c r="H163" s="115"/>
    </row>
    <row r="164" spans="1:9" x14ac:dyDescent="0.2">
      <c r="A164" s="113" t="s">
        <v>262</v>
      </c>
      <c r="B164" s="112">
        <v>4</v>
      </c>
      <c r="C164" s="81" t="s">
        <v>267</v>
      </c>
      <c r="D164" s="78" t="s">
        <v>197</v>
      </c>
      <c r="E164" s="78">
        <v>146</v>
      </c>
      <c r="F164" s="79">
        <v>24000000</v>
      </c>
      <c r="G164" s="116"/>
      <c r="H164" s="117"/>
    </row>
    <row r="165" spans="1:9" x14ac:dyDescent="0.2">
      <c r="A165" s="113" t="s">
        <v>262</v>
      </c>
      <c r="B165" s="112">
        <v>4</v>
      </c>
      <c r="C165" s="81" t="s">
        <v>268</v>
      </c>
      <c r="D165" s="78" t="s">
        <v>185</v>
      </c>
      <c r="E165" s="78">
        <v>149</v>
      </c>
      <c r="F165" s="79">
        <v>25750000</v>
      </c>
      <c r="G165" s="90">
        <f>SUM(F164:F165)</f>
        <v>49750000</v>
      </c>
      <c r="H165" s="91"/>
    </row>
    <row r="166" spans="1:9" x14ac:dyDescent="0.2">
      <c r="F166" s="31">
        <f>SUM(F5:F165)</f>
        <v>1751808323</v>
      </c>
    </row>
  </sheetData>
  <mergeCells count="57">
    <mergeCell ref="A5:A32"/>
    <mergeCell ref="B5:B32"/>
    <mergeCell ref="C5:C13"/>
    <mergeCell ref="C14:C22"/>
    <mergeCell ref="C28:C30"/>
    <mergeCell ref="C31:C32"/>
    <mergeCell ref="C76:C78"/>
    <mergeCell ref="A33:A81"/>
    <mergeCell ref="B33:B81"/>
    <mergeCell ref="C33:C37"/>
    <mergeCell ref="C38:C40"/>
    <mergeCell ref="C41:C43"/>
    <mergeCell ref="C44:C46"/>
    <mergeCell ref="C54:C57"/>
    <mergeCell ref="C58:C61"/>
    <mergeCell ref="C62:C63"/>
    <mergeCell ref="C64:C65"/>
    <mergeCell ref="C66:C67"/>
    <mergeCell ref="C68:C69"/>
    <mergeCell ref="C73:C75"/>
    <mergeCell ref="C79:C81"/>
    <mergeCell ref="C71:C72"/>
    <mergeCell ref="A82:A97"/>
    <mergeCell ref="B82:B97"/>
    <mergeCell ref="C82:C85"/>
    <mergeCell ref="C86:C91"/>
    <mergeCell ref="C92:C97"/>
    <mergeCell ref="C134:C136"/>
    <mergeCell ref="C137:C138"/>
    <mergeCell ref="C139:C140"/>
    <mergeCell ref="C141:C142"/>
    <mergeCell ref="A98:A99"/>
    <mergeCell ref="B98:B99"/>
    <mergeCell ref="A100:A126"/>
    <mergeCell ref="B100:B126"/>
    <mergeCell ref="C100:C101"/>
    <mergeCell ref="C102:C103"/>
    <mergeCell ref="C109:C110"/>
    <mergeCell ref="C113:C114"/>
    <mergeCell ref="C124:C125"/>
    <mergeCell ref="C120:C121"/>
    <mergeCell ref="D1:F1"/>
    <mergeCell ref="A151:A154"/>
    <mergeCell ref="B151:B154"/>
    <mergeCell ref="C151:C154"/>
    <mergeCell ref="C25:C27"/>
    <mergeCell ref="C23:C24"/>
    <mergeCell ref="C48:C53"/>
    <mergeCell ref="A145:A146"/>
    <mergeCell ref="B145:B146"/>
    <mergeCell ref="C145:C146"/>
    <mergeCell ref="A147:A150"/>
    <mergeCell ref="B147:B150"/>
    <mergeCell ref="C147:C150"/>
    <mergeCell ref="A127:A144"/>
    <mergeCell ref="B127:B144"/>
    <mergeCell ref="C128:C129"/>
  </mergeCells>
  <phoneticPr fontId="15" type="noConversion"/>
  <pageMargins left="0.25" right="0.25" top="0.75" bottom="0.75" header="0.3" footer="0.3"/>
  <pageSetup paperSize="9" scale="80" orientation="portrait" r:id="rId1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Tabela indykatywna</vt:lpstr>
      <vt:lpstr>ZI</vt:lpstr>
      <vt:lpstr>'Tabela indykatywna'!Obszar_wydruku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2026-06-30T12:09:00Z</dcterms:modified>
</cp:coreProperties>
</file>